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공사계약\2025년 공사(전자입찰)계약\경수대로 호계,신기사거리 구간 도로포장 정비공사\"/>
    </mc:Choice>
  </mc:AlternateContent>
  <xr:revisionPtr revIDLastSave="0" documentId="13_ncr:1_{4BDEA944-4C3D-4363-8A5F-03C0596251E8}" xr6:coauthVersionLast="47" xr6:coauthVersionMax="47" xr10:uidLastSave="{00000000-0000-0000-0000-000000000000}"/>
  <bookViews>
    <workbookView xWindow="28680" yWindow="-120" windowWidth="29040" windowHeight="15720" tabRatio="744" xr2:uid="{DF907EB7-559E-4966-A275-B0CD35FE18AA}"/>
  </bookViews>
  <sheets>
    <sheet name="내역서" sheetId="1" r:id="rId1"/>
    <sheet name="전역변수" sheetId="11" state="hidden" r:id="rId2"/>
    <sheet name="중기전역변수" sheetId="12" state="hidden" r:id="rId3"/>
    <sheet name="Sheet3" sheetId="13" state="hidden" r:id="rId4"/>
  </sheets>
  <definedNames>
    <definedName name="_xlnm.Print_Titles" localSheetId="0">내역서!$1:$3</definedName>
    <definedName name="_xlnm.Print_Titles" localSheetId="1">전역변수!$1:$2</definedName>
    <definedName name="_xlnm.Print_Titles" localSheetId="2">중기전역변수!$1:$2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2" i="1" l="1"/>
  <c r="AD12" i="1" s="1"/>
  <c r="AF12" i="1"/>
  <c r="AH12" i="1" s="1"/>
  <c r="C18" i="12"/>
  <c r="C19" i="12"/>
  <c r="C20" i="12"/>
  <c r="C21" i="12"/>
  <c r="C22" i="12"/>
  <c r="C23" i="12"/>
  <c r="AB79" i="1" l="1"/>
  <c r="AD79" i="1" s="1"/>
  <c r="AF79" i="1"/>
  <c r="AH79" i="1" s="1"/>
  <c r="AB5" i="1" l="1"/>
  <c r="AD5" i="1" s="1"/>
  <c r="AB11" i="1"/>
  <c r="AD11" i="1" s="1"/>
  <c r="AF5" i="1"/>
  <c r="AH5" i="1" s="1"/>
  <c r="AF11" i="1"/>
  <c r="AH11" i="1" s="1"/>
  <c r="AB8" i="1"/>
  <c r="AD8" i="1" s="1"/>
  <c r="AB9" i="1"/>
  <c r="AD9" i="1" s="1"/>
  <c r="AF9" i="1" l="1"/>
  <c r="AH9" i="1" s="1"/>
  <c r="AF8" i="1"/>
  <c r="AH8" i="1" s="1"/>
  <c r="AF7" i="1"/>
  <c r="AH7" i="1" s="1"/>
  <c r="AB6" i="1"/>
  <c r="AD6" i="1" s="1"/>
  <c r="AF22" i="1"/>
  <c r="AH22" i="1" s="1"/>
  <c r="AF6" i="1"/>
  <c r="AH6" i="1" s="1"/>
  <c r="AB10" i="1"/>
  <c r="AD10" i="1" s="1"/>
  <c r="AF10" i="1"/>
  <c r="AH10" i="1" s="1"/>
  <c r="AB7" i="1" l="1"/>
  <c r="AD7" i="1" s="1"/>
  <c r="AF24" i="1" l="1"/>
  <c r="AH24" i="1" s="1"/>
  <c r="AF26" i="1"/>
  <c r="AH26" i="1" s="1"/>
  <c r="AF16" i="1" l="1"/>
  <c r="AH16" i="1" s="1"/>
  <c r="AB18" i="1"/>
  <c r="AD18" i="1" s="1"/>
  <c r="AB13" i="1"/>
  <c r="AD13" i="1" s="1"/>
  <c r="AB15" i="1"/>
  <c r="AD15" i="1" s="1"/>
  <c r="AF18" i="1"/>
  <c r="AH18" i="1" s="1"/>
  <c r="AB19" i="1"/>
  <c r="AD19" i="1" s="1"/>
  <c r="AB14" i="1"/>
  <c r="AD14" i="1" s="1"/>
  <c r="AB16" i="1"/>
  <c r="AD16" i="1" s="1"/>
  <c r="AF15" i="1"/>
  <c r="AH15" i="1" s="1"/>
  <c r="AF13" i="1"/>
  <c r="AH13" i="1" s="1"/>
  <c r="AB22" i="1" l="1"/>
  <c r="AD22" i="1" s="1"/>
  <c r="AB24" i="1" l="1"/>
  <c r="AD24" i="1" s="1"/>
  <c r="AB20" i="1" l="1"/>
  <c r="AD20" i="1" s="1"/>
  <c r="AB21" i="1"/>
  <c r="AD21" i="1" s="1"/>
  <c r="AB26" i="1"/>
  <c r="AD26" i="1" s="1"/>
  <c r="AJ22" i="1" l="1"/>
  <c r="AL22" i="1" s="1"/>
  <c r="AB23" i="1"/>
  <c r="AD23" i="1" s="1"/>
  <c r="AJ24" i="1" l="1"/>
  <c r="AL24" i="1" s="1"/>
  <c r="AJ26" i="1" l="1"/>
  <c r="AL26" i="1" s="1"/>
</calcChain>
</file>

<file path=xl/sharedStrings.xml><?xml version="1.0" encoding="utf-8"?>
<sst xmlns="http://schemas.openxmlformats.org/spreadsheetml/2006/main" count="920" uniqueCount="380">
  <si>
    <t>QEQTY2</t>
  </si>
  <si>
    <t>(SANG + JUNG + KWAN)*10^-4</t>
  </si>
  <si>
    <t xml:space="preserve">79_1_1 = </t>
  </si>
  <si>
    <t>.EQ=(MA(20)+LA(20)+EQ(20)) * 0.68/100 =?</t>
  </si>
  <si>
    <t xml:space="preserve">       절삭 후 덧씌우기(지하차도)</t>
  </si>
  <si>
    <t>290</t>
  </si>
  <si>
    <t xml:space="preserve">   다. 순공사비 계</t>
  </si>
  <si>
    <t>작은금액</t>
  </si>
  <si>
    <t>적용단위</t>
  </si>
  <si>
    <t xml:space="preserve">    2. 안전시설 설치및해체</t>
  </si>
  <si>
    <t>250</t>
  </si>
  <si>
    <t>노임계금액소숫점</t>
  </si>
  <si>
    <t>.MA= MA(20,0,100)+MA(130,0,160)_x000D_
.LA= LA(20,0,100)+LA(130,0,160)_x000D_
.EQ= EQ(20,0,100)+EQ(130,0,160)</t>
  </si>
  <si>
    <t>백색, 4W-P3-R5-RW4, 20kg</t>
  </si>
  <si>
    <t>M1464303</t>
  </si>
  <si>
    <t>QEINC2</t>
  </si>
  <si>
    <t>210</t>
  </si>
  <si>
    <t>LA</t>
  </si>
  <si>
    <t>140</t>
  </si>
  <si>
    <t>경    비</t>
  </si>
  <si>
    <t>TO-CLH21141000S-BL</t>
  </si>
  <si>
    <t>(직노)*16.5%</t>
  </si>
  <si>
    <t>시간당노임산출계수(해상장비:버켓준설선)</t>
  </si>
  <si>
    <t>안양시</t>
  </si>
  <si>
    <t>노임금액소숫점</t>
  </si>
  <si>
    <t>노임단가소숫점</t>
  </si>
  <si>
    <t>100</t>
  </si>
  <si>
    <t xml:space="preserve">18_1_1 = </t>
  </si>
  <si>
    <t>90</t>
  </si>
  <si>
    <t>200×80×750</t>
  </si>
  <si>
    <t>QLINCZ</t>
  </si>
  <si>
    <t>QH21</t>
  </si>
  <si>
    <t>변 수 명</t>
  </si>
  <si>
    <t>50</t>
  </si>
  <si>
    <t>QUS2WON3</t>
  </si>
  <si>
    <t>황색실선</t>
  </si>
  <si>
    <t>.EQ = ((LA(170)+EQ(170)+TOT(180))*0.15)-(2652/1.1)</t>
  </si>
  <si>
    <t xml:space="preserve">LA+ = </t>
  </si>
  <si>
    <t xml:space="preserve">       중기운반</t>
  </si>
  <si>
    <t xml:space="preserve">    3. 교통신호수</t>
  </si>
  <si>
    <t>180</t>
  </si>
  <si>
    <t>10</t>
  </si>
  <si>
    <t>QDECLA</t>
  </si>
  <si>
    <t>내역서</t>
  </si>
  <si>
    <t>SF05070-22</t>
  </si>
  <si>
    <t>QYEN2WON</t>
  </si>
  <si>
    <t>QOPtimeDecOp</t>
  </si>
  <si>
    <t>금 액</t>
  </si>
  <si>
    <t xml:space="preserve">    3. 부대공</t>
  </si>
  <si>
    <t>EQ</t>
  </si>
  <si>
    <t xml:space="preserve">15_1_1+ = </t>
  </si>
  <si>
    <t xml:space="preserve">16_1_1 = </t>
  </si>
  <si>
    <t xml:space="preserve">   9. 환경보전비</t>
  </si>
  <si>
    <t>실선</t>
  </si>
  <si>
    <t>QOPtimeDecCnt</t>
  </si>
  <si>
    <t xml:space="preserve">   4. 건강보험료</t>
  </si>
  <si>
    <t>황색, 4Y-P3-R5-RW4, 20kg</t>
  </si>
  <si>
    <t>공 종 명</t>
  </si>
  <si>
    <t>TO-CLH21114000S</t>
  </si>
  <si>
    <t>MASC-MC1</t>
  </si>
  <si>
    <t>노임할증계수(터널구간:야간)</t>
  </si>
  <si>
    <t>QECU2WON</t>
  </si>
  <si>
    <t xml:space="preserve">      아스팔트유제</t>
  </si>
  <si>
    <t>노임할증계수(장대터널:주야간)</t>
  </si>
  <si>
    <t>경비계금액소숫점</t>
  </si>
  <si>
    <t xml:space="preserve">   값   </t>
  </si>
  <si>
    <t xml:space="preserve">11_1_1+ = </t>
  </si>
  <si>
    <t>TO-CLH21141000S-YE</t>
  </si>
  <si>
    <t>B02</t>
  </si>
  <si>
    <t xml:space="preserve">   사. 총 공 사 비</t>
  </si>
  <si>
    <t>390</t>
  </si>
  <si>
    <t>SF05070-20</t>
  </si>
  <si>
    <t>QDECEQ</t>
  </si>
  <si>
    <t>SA02100</t>
  </si>
  <si>
    <t>QUS2WON1</t>
  </si>
  <si>
    <t>.EQ = (LA(20) + TOT(30)) * 3.56/100=?</t>
  </si>
  <si>
    <t xml:space="preserve">6_1_1+ = </t>
  </si>
  <si>
    <t>중기야간경비산출계수</t>
  </si>
  <si>
    <t xml:space="preserve">       재설치</t>
  </si>
  <si>
    <t>TO-CLH21142000S</t>
  </si>
  <si>
    <t>310</t>
  </si>
  <si>
    <t>TO-CLH21113000S</t>
  </si>
  <si>
    <t>단 가</t>
  </si>
  <si>
    <t xml:space="preserve">   2. 산재보험료</t>
  </si>
  <si>
    <t>QLINCX</t>
  </si>
  <si>
    <t>안전관리비(호계신기사거리일원)</t>
  </si>
  <si>
    <t>비    고</t>
  </si>
  <si>
    <t>문자, 기호</t>
  </si>
  <si>
    <t xml:space="preserve">MA=TOT(10,0,80)*0.54/100 + (10000-7111) =?_x000D_
</t>
  </si>
  <si>
    <t>S</t>
  </si>
  <si>
    <t>.EQ = LA(20) * 2.3/100 =?</t>
  </si>
  <si>
    <t xml:space="preserve">    1. 토공 및 철거공</t>
  </si>
  <si>
    <t xml:space="preserve">11_1_1 = </t>
  </si>
  <si>
    <t>M1500061-JO</t>
  </si>
  <si>
    <t xml:space="preserve">       아스콘포장 깨기</t>
  </si>
  <si>
    <t>350</t>
  </si>
  <si>
    <t>노임할증계수(해상장비:주간)</t>
  </si>
  <si>
    <t xml:space="preserve">13_1_1 = </t>
  </si>
  <si>
    <t xml:space="preserve">8_1_1 = </t>
  </si>
  <si>
    <t>B02-1</t>
  </si>
  <si>
    <t>QLINCB</t>
  </si>
  <si>
    <t>비 고</t>
  </si>
  <si>
    <t xml:space="preserve">   6. 노인장기요양보험료</t>
  </si>
  <si>
    <t>QDM2WON</t>
  </si>
  <si>
    <t>노임할증계수(터널구간:주간)</t>
  </si>
  <si>
    <t>.EQ = MIN(TOT(110),TOT(120))=?</t>
  </si>
  <si>
    <t>280</t>
  </si>
  <si>
    <t xml:space="preserve">       절삭 후 덧씌우기(본선)</t>
  </si>
  <si>
    <t>EA</t>
  </si>
  <si>
    <t xml:space="preserve">     노면표지용도료</t>
  </si>
  <si>
    <t>450mm~750mm</t>
  </si>
  <si>
    <t>환율(사용자 환율1)</t>
  </si>
  <si>
    <t xml:space="preserve">     3.03 운반비</t>
  </si>
  <si>
    <t>240</t>
  </si>
  <si>
    <t>QDATE</t>
  </si>
  <si>
    <t>200</t>
  </si>
  <si>
    <t>56100307041</t>
  </si>
  <si>
    <t>시간당노임산출계수(터널구간)</t>
  </si>
  <si>
    <t>MA</t>
  </si>
  <si>
    <t>MC-1</t>
  </si>
  <si>
    <t>재료비할증계수(주야간)</t>
  </si>
  <si>
    <t xml:space="preserve">      아스팔트 콘크리트(중간층)</t>
  </si>
  <si>
    <t>150</t>
  </si>
  <si>
    <t xml:space="preserve">EQ+ = </t>
  </si>
  <si>
    <t>할 증</t>
  </si>
  <si>
    <t>백색파선</t>
  </si>
  <si>
    <t>110</t>
  </si>
  <si>
    <t>GEX_GQT1</t>
  </si>
  <si>
    <t>문자</t>
  </si>
  <si>
    <t>청색실선</t>
  </si>
  <si>
    <t>QH31</t>
  </si>
  <si>
    <t>80</t>
  </si>
  <si>
    <t>OP값</t>
  </si>
  <si>
    <t>노임할증계수(해상장비:야간)</t>
  </si>
  <si>
    <t>QLINCF</t>
  </si>
  <si>
    <t>중기주야간할증계수</t>
  </si>
  <si>
    <t>TO-CLH21111000S</t>
  </si>
  <si>
    <t>40</t>
  </si>
  <si>
    <t>QMINC3</t>
  </si>
  <si>
    <t>.[] = TOT(200,0,210)</t>
  </si>
  <si>
    <t>190</t>
  </si>
  <si>
    <t>단위</t>
  </si>
  <si>
    <t>QH1</t>
  </si>
  <si>
    <t>(재+직노+간노)*5.2%</t>
  </si>
  <si>
    <t xml:space="preserve">    조달수수료</t>
  </si>
  <si>
    <t>QDECMA</t>
  </si>
  <si>
    <t xml:space="preserve">   가. 직접공사비 계</t>
  </si>
  <si>
    <t>.EQ=(MA(20)+LA(20)+EQ(20))*0.9/100 =?</t>
  </si>
  <si>
    <t xml:space="preserve">       현장출장경비</t>
  </si>
  <si>
    <t xml:space="preserve">    4. 자재대</t>
  </si>
  <si>
    <t xml:space="preserve">LA = </t>
  </si>
  <si>
    <t>RSC-3</t>
  </si>
  <si>
    <t xml:space="preserve">       차선 밑그림 / 공용구간</t>
  </si>
  <si>
    <t>QSABUN</t>
  </si>
  <si>
    <t xml:space="preserve">   </t>
  </si>
  <si>
    <t>노 무 비</t>
  </si>
  <si>
    <t>A02</t>
  </si>
  <si>
    <t xml:space="preserve">   1. 간접노무비</t>
  </si>
  <si>
    <t xml:space="preserve">10_1_1+ = </t>
  </si>
  <si>
    <t>시간당노임산출계수(해상장비:펌프준설선)</t>
  </si>
  <si>
    <t>환율(장비가격10만불이하)</t>
  </si>
  <si>
    <t>.LA= LA(20)*16.5/100 =?</t>
  </si>
  <si>
    <t>.EQ = (MA(20)+LA(20)+TOT(230))*(3.15/100)+0=?</t>
  </si>
  <si>
    <t xml:space="preserve">     3.04 시험비</t>
  </si>
  <si>
    <t>환율(유로화)</t>
  </si>
  <si>
    <t xml:space="preserve">79_1_1+ = </t>
  </si>
  <si>
    <t xml:space="preserve">     개질 아스콘</t>
  </si>
  <si>
    <t>SF01400-1</t>
  </si>
  <si>
    <t xml:space="preserve">6_1_1 = </t>
  </si>
  <si>
    <t>규 격</t>
  </si>
  <si>
    <t>380</t>
  </si>
  <si>
    <t xml:space="preserve">18_1_1+ = </t>
  </si>
  <si>
    <t>QLINCD</t>
  </si>
  <si>
    <t>도급자 관급자재(호계신기사거리일원)</t>
  </si>
  <si>
    <t xml:space="preserve">     아스팔트 콘크리트</t>
  </si>
  <si>
    <t>(재+직노+산경)*0.9%</t>
  </si>
  <si>
    <t>QSDR2WON</t>
  </si>
  <si>
    <t xml:space="preserve">      노면표지용페인트(융착식)</t>
  </si>
  <si>
    <t>QH33</t>
  </si>
  <si>
    <t>300</t>
  </si>
  <si>
    <t xml:space="preserve">       철거</t>
  </si>
  <si>
    <t xml:space="preserve">7_1_1+ = </t>
  </si>
  <si>
    <t>SAJS_2025_QT2</t>
  </si>
  <si>
    <t xml:space="preserve">     3.02 차선규제봉</t>
  </si>
  <si>
    <t xml:space="preserve">     1.03 폐기물 상차</t>
  </si>
  <si>
    <t>.EQ=(MA(20)+LA(20)+TOT(30))*5.2/100 =?</t>
  </si>
  <si>
    <t>TO-CLH27000000S</t>
  </si>
  <si>
    <t xml:space="preserve">   10. 기타경비</t>
  </si>
  <si>
    <t>7</t>
  </si>
  <si>
    <t>QLINC2</t>
  </si>
  <si>
    <t>재료비계금액소숫점</t>
  </si>
  <si>
    <t xml:space="preserve">      차선규제봉</t>
  </si>
  <si>
    <t>340</t>
  </si>
  <si>
    <t>QDECPEQ</t>
  </si>
  <si>
    <t xml:space="preserve">   3. 고용보험료</t>
  </si>
  <si>
    <t xml:space="preserve">      개질유화</t>
  </si>
  <si>
    <t xml:space="preserve">       중간층,기층 포설및다짐(소파보수)</t>
  </si>
  <si>
    <t>QDECCLA</t>
  </si>
  <si>
    <t>노임할증계수(일반구간:주간)</t>
  </si>
  <si>
    <t>(SANG + JUNG + int(KWAN/3))*10^-4</t>
  </si>
  <si>
    <t>.EQ = TOT(200)*0.1</t>
  </si>
  <si>
    <t>TO-CLH21143000S</t>
  </si>
  <si>
    <t>B-TYPE/5mm (야간)</t>
  </si>
  <si>
    <t xml:space="preserve">EQ = </t>
  </si>
  <si>
    <t>TO-CLH21112000S</t>
  </si>
  <si>
    <t>270</t>
  </si>
  <si>
    <t>QUS2WON2</t>
  </si>
  <si>
    <t>포</t>
  </si>
  <si>
    <t>230</t>
  </si>
  <si>
    <t xml:space="preserve">5_1_1 = </t>
  </si>
  <si>
    <t>160</t>
  </si>
  <si>
    <t>수량</t>
  </si>
  <si>
    <t>노임할증계수(해상장비:주야간)</t>
  </si>
  <si>
    <t>QEQTY3</t>
  </si>
  <si>
    <t>m</t>
  </si>
  <si>
    <t>SE04730-219N-24</t>
  </si>
  <si>
    <t>120</t>
  </si>
  <si>
    <t>70</t>
  </si>
  <si>
    <t>환율(마르크화)</t>
  </si>
  <si>
    <t>TO-CLH21144000S</t>
  </si>
  <si>
    <t>QEINC3</t>
  </si>
  <si>
    <t xml:space="preserve">   바. 관급자재(도급자)</t>
  </si>
  <si>
    <t>30</t>
  </si>
  <si>
    <t>MS17052100</t>
  </si>
  <si>
    <t xml:space="preserve">   13. 이윤</t>
  </si>
  <si>
    <t>T</t>
  </si>
  <si>
    <t>QUS2WON</t>
  </si>
  <si>
    <t>BB-4</t>
  </si>
  <si>
    <t>개소</t>
  </si>
  <si>
    <t>0.54%</t>
  </si>
  <si>
    <t>{(재+직노)×(3.15%)+기초액}x1.2</t>
  </si>
  <si>
    <t xml:space="preserve">10_1_1 = </t>
  </si>
  <si>
    <t>*</t>
  </si>
  <si>
    <t>SF05070-21</t>
  </si>
  <si>
    <t xml:space="preserve">   b 산업안전보건관리비</t>
  </si>
  <si>
    <t>회</t>
  </si>
  <si>
    <t>노임할증계수(터널구간:주야간)</t>
  </si>
  <si>
    <t>경비단가소숫점</t>
  </si>
  <si>
    <t>환율(사용자 환율2)</t>
  </si>
  <si>
    <t>QDECCEQ</t>
  </si>
  <si>
    <t>노임할증계수(장대터널:주간)</t>
  </si>
  <si>
    <t xml:space="preserve">13_1_1+ = </t>
  </si>
  <si>
    <t>.EQ = LA(20) * 3.545/100 =?</t>
  </si>
  <si>
    <t>QCODE</t>
  </si>
  <si>
    <t xml:space="preserve">     2.01 아스콘 포장</t>
  </si>
  <si>
    <t xml:space="preserve">8_1_1+ = </t>
  </si>
  <si>
    <t xml:space="preserve">     1.01 포장 깨기</t>
  </si>
  <si>
    <t>QDECPLA</t>
  </si>
  <si>
    <t>QLINCY</t>
  </si>
  <si>
    <t>금액계상</t>
  </si>
  <si>
    <t>재 료 비</t>
  </si>
  <si>
    <t>경비금액소숫점</t>
  </si>
  <si>
    <t>시간당노임산출계수(장대터널)</t>
  </si>
  <si>
    <t>D/M</t>
  </si>
  <si>
    <t>80101157111</t>
  </si>
  <si>
    <t>4회</t>
  </si>
  <si>
    <t>(직노)*4.5%</t>
  </si>
  <si>
    <t>.[] = TOT(220,0,230)</t>
  </si>
  <si>
    <t xml:space="preserve">   7. 퇴직공제부금비</t>
  </si>
  <si>
    <t>파선</t>
  </si>
  <si>
    <t>순공사비 계 * 6.0%</t>
  </si>
  <si>
    <t>330</t>
  </si>
  <si>
    <t xml:space="preserve">   8. 산업안전보건관리비</t>
  </si>
  <si>
    <t>.EQ = EQ(60) * 12.95/100 =?</t>
  </si>
  <si>
    <t>중기주야간경비산출계수</t>
  </si>
  <si>
    <t>㎥</t>
  </si>
  <si>
    <t>QEQTY1</t>
  </si>
  <si>
    <t>370</t>
  </si>
  <si>
    <t>화폐변환</t>
  </si>
  <si>
    <t xml:space="preserve">     1.02 포장 절단</t>
  </si>
  <si>
    <t>㎡</t>
  </si>
  <si>
    <t xml:space="preserve">MA+ = </t>
  </si>
  <si>
    <t>QVER</t>
  </si>
  <si>
    <t>410</t>
  </si>
  <si>
    <t>.[] = TOT(170,0,190)</t>
  </si>
  <si>
    <t>노임할증계수(장대터널:야간)</t>
  </si>
  <si>
    <t>중기주간경비산출계수</t>
  </si>
  <si>
    <t>전역변수</t>
  </si>
  <si>
    <t xml:space="preserve">      아스팔트 콘크리트(기층)</t>
  </si>
  <si>
    <t xml:space="preserve">   11. 건설기계대여금지급보증액</t>
  </si>
  <si>
    <t xml:space="preserve">   나. 안전관리비</t>
  </si>
  <si>
    <t>시간당노임산출계수(해상장비:GRAB준설선)</t>
  </si>
  <si>
    <t>백색실선</t>
  </si>
  <si>
    <t>형    식</t>
  </si>
  <si>
    <t>MS17052200</t>
  </si>
  <si>
    <t>QDECCMA</t>
  </si>
  <si>
    <t>RSC-4</t>
  </si>
  <si>
    <t>청색파선</t>
  </si>
  <si>
    <t>QLINC1</t>
  </si>
  <si>
    <t xml:space="preserve">15_1_1 = </t>
  </si>
  <si>
    <t xml:space="preserve">     2.2 PE드럼 설치및해체</t>
  </si>
  <si>
    <t>(재+직노+관급)×3.15%+기초액</t>
  </si>
  <si>
    <t xml:space="preserve">     3.01 차선도색</t>
  </si>
  <si>
    <t xml:space="preserve">      개질 아스콘</t>
  </si>
  <si>
    <t>260</t>
  </si>
  <si>
    <t>(직노)*3.545%</t>
  </si>
  <si>
    <t>QMINC2</t>
  </si>
  <si>
    <t>▷ 호계신기사거리 일원 도로포장공사</t>
  </si>
  <si>
    <t>220</t>
  </si>
  <si>
    <t>식</t>
  </si>
  <si>
    <t>TO-CLC91000000S</t>
  </si>
  <si>
    <t>중기야간할증계수</t>
  </si>
  <si>
    <t>170</t>
  </si>
  <si>
    <t xml:space="preserve">   마. 도급공사비</t>
  </si>
  <si>
    <t>환율(엔화)</t>
  </si>
  <si>
    <t xml:space="preserve">       품질시험비</t>
  </si>
  <si>
    <t xml:space="preserve">MA = </t>
  </si>
  <si>
    <t xml:space="preserve">   12. 일반관리비</t>
  </si>
  <si>
    <t>130</t>
  </si>
  <si>
    <t>F</t>
  </si>
  <si>
    <t>QLINCC</t>
  </si>
  <si>
    <t>MASC-BB4</t>
  </si>
  <si>
    <t>재료비단가소숫점</t>
  </si>
  <si>
    <t>60</t>
  </si>
  <si>
    <t>(건강)*12.95%</t>
  </si>
  <si>
    <t>(직노+간노)*1.01%</t>
  </si>
  <si>
    <t>환율(장비가격10만불이상)</t>
  </si>
  <si>
    <t>TON</t>
  </si>
  <si>
    <t xml:space="preserve">   라. 공급가액</t>
  </si>
  <si>
    <t>TO-CLC92121000S-N</t>
  </si>
  <si>
    <t>20</t>
  </si>
  <si>
    <t xml:space="preserve">12_1_1 = </t>
  </si>
  <si>
    <t xml:space="preserve">9_1_1 = </t>
  </si>
  <si>
    <t>0</t>
  </si>
  <si>
    <t>재료비금액소숫점</t>
  </si>
  <si>
    <t>재료비할증계수(야간)</t>
  </si>
  <si>
    <t xml:space="preserve">   5. 연금보험료</t>
  </si>
  <si>
    <t>.EQ = (LA(20) + TOT(30)) * 1.01/100=?</t>
  </si>
  <si>
    <t>(노+경+일반관리비)*15.0%</t>
  </si>
  <si>
    <t>QLINCE</t>
  </si>
  <si>
    <t>환율(IMF특별인출권)</t>
  </si>
  <si>
    <t>횡단보도, 주차장</t>
  </si>
  <si>
    <t>SF05070-31</t>
  </si>
  <si>
    <t xml:space="preserve">     2.1 라바콘 및 유도등 설치및해체</t>
  </si>
  <si>
    <t>MASC-7622</t>
  </si>
  <si>
    <t>(재+직노+산경)*0.68%</t>
  </si>
  <si>
    <t xml:space="preserve">   a 산업안전보건관리비</t>
  </si>
  <si>
    <t>TO-CLH27000000S-C</t>
  </si>
  <si>
    <t xml:space="preserve">16_1_1+ = </t>
  </si>
  <si>
    <t>중기전역변수</t>
  </si>
  <si>
    <t>QH2</t>
  </si>
  <si>
    <t>(직노)*2.3%</t>
  </si>
  <si>
    <t xml:space="preserve">    1. 공사안내표지판,현수막 설치및해체</t>
  </si>
  <si>
    <t xml:space="preserve">9_1_1+ = </t>
  </si>
  <si>
    <t>○ 경수대로 호계신기사거리 구간 도로포장공사 ○</t>
  </si>
  <si>
    <t>TO-CLH21141000S</t>
  </si>
  <si>
    <t xml:space="preserve">12_1_1+ = </t>
  </si>
  <si>
    <t>QLINC3</t>
  </si>
  <si>
    <t>도로점용구간</t>
  </si>
  <si>
    <t>QH32</t>
  </si>
  <si>
    <t>노임할증계수(일반구간:야간)</t>
  </si>
  <si>
    <t>A-Type / 시공면적 24㎡ 이하 (야간)</t>
  </si>
  <si>
    <t>QDECPMA</t>
  </si>
  <si>
    <t xml:space="preserve">7_1_1 = </t>
  </si>
  <si>
    <t>M1500051-JO</t>
  </si>
  <si>
    <t>시간당노임산출계수(일반구간)</t>
  </si>
  <si>
    <t>(직노+간노)*3.56%</t>
  </si>
  <si>
    <t>((MA(20)+LA(20))*(3.15/100)+0)*1.2= ?EQ</t>
  </si>
  <si>
    <t xml:space="preserve">       융착식 도료 수동식</t>
  </si>
  <si>
    <t>BL coat</t>
  </si>
  <si>
    <t>100000000001</t>
  </si>
  <si>
    <t>.EQ = (tot(170)) * 6/100</t>
  </si>
  <si>
    <t>2</t>
  </si>
  <si>
    <t>80101157141</t>
  </si>
  <si>
    <t>노임할증계수(일반구간:주야간)</t>
  </si>
  <si>
    <t xml:space="preserve">       아스콘 절단</t>
  </si>
  <si>
    <t>합    계</t>
  </si>
  <si>
    <t>320</t>
  </si>
  <si>
    <t>QLINCA</t>
  </si>
  <si>
    <t>숫자</t>
  </si>
  <si>
    <t xml:space="preserve">    2. 포장공</t>
  </si>
  <si>
    <t>B02-2</t>
  </si>
  <si>
    <t>B02-2</t>
  </si>
  <si>
    <t xml:space="preserve">   14. 부가가치세</t>
  </si>
  <si>
    <t>.EQ = LA(20) * 4.5/100 =?</t>
  </si>
  <si>
    <t xml:space="preserve">5_1_1+ = </t>
  </si>
  <si>
    <t>360</t>
  </si>
  <si>
    <t>400</t>
  </si>
  <si>
    <t/>
  </si>
  <si>
    <t>25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</si>
</sst>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General;\-General\,&quot;&quot;;@"/>
    <numFmt numFmtId="180" formatCode="#,###;\-#,###;&quot;&quot;;@"/>
    <numFmt numFmtId="183" formatCode="_(* #,##0.00_);_(* \(#,##0.00\);_(* &quot;-&quot;??_);_(@_)"/>
  </numFmts>
  <fonts count="6" x14ac:knownFonts="1">
    <font>
      <sz val="8"/>
      <color indexed="8"/>
      <name val="굴림"/>
      <family val="2"/>
      <charset val="129"/>
    </font>
    <font>
      <sz val="8"/>
      <color indexed="22"/>
      <name val="굴림"/>
      <family val="2"/>
      <charset val="129"/>
    </font>
    <font>
      <sz val="8"/>
      <color indexed="30"/>
      <name val="굴림"/>
      <family val="2"/>
      <charset val="129"/>
    </font>
    <font>
      <sz val="8"/>
      <name val="굴림"/>
      <family val="2"/>
      <charset val="129"/>
    </font>
    <font>
      <sz val="11"/>
      <color rgb="FF000000"/>
      <name val="맑은 고딕"/>
      <family val="3"/>
      <charset val="129"/>
    </font>
    <font>
      <sz val="8"/>
      <color indexed="8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44"/>
        <bgColor indexed="9"/>
      </patternFill>
    </fill>
    <fill>
      <patternFill patternType="solid">
        <fgColor indexed="27"/>
        <b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4" fillId="0" borderId="0">
      <alignment vertical="center"/>
    </xf>
    <xf numFmtId="0" fontId="5" fillId="0" borderId="0"/>
    <xf numFmtId="41" fontId="4" fillId="0" borderId="0">
      <alignment vertical="center"/>
    </xf>
    <xf numFmtId="9" fontId="4" fillId="0" borderId="0">
      <alignment vertical="center"/>
    </xf>
    <xf numFmtId="183" fontId="5" fillId="0" borderId="0"/>
  </cellStyleXfs>
  <cellXfs count="30">
    <xf numFmtId="0" fontId="0" fillId="0" borderId="0" xfId="0"/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 applyAlignment="1">
      <alignment vertical="center"/>
    </xf>
    <xf numFmtId="176" fontId="0" fillId="0" borderId="2" xfId="0" applyNumberFormat="1" applyBorder="1" applyAlignment="1">
      <alignment vertical="center"/>
    </xf>
    <xf numFmtId="176" fontId="0" fillId="0" borderId="7" xfId="0" applyNumberFormat="1" applyBorder="1" applyAlignment="1">
      <alignment vertical="center"/>
    </xf>
    <xf numFmtId="176" fontId="0" fillId="0" borderId="8" xfId="0" applyNumberFormat="1" applyBorder="1" applyAlignment="1">
      <alignment vertical="center"/>
    </xf>
    <xf numFmtId="176" fontId="0" fillId="4" borderId="10" xfId="0" applyNumberFormat="1" applyFill="1" applyBorder="1" applyAlignment="1">
      <alignment horizontal="center" vertical="center"/>
    </xf>
    <xf numFmtId="176" fontId="0" fillId="4" borderId="11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/>
    </xf>
    <xf numFmtId="176" fontId="0" fillId="4" borderId="12" xfId="0" applyNumberFormat="1" applyFill="1" applyBorder="1" applyAlignment="1">
      <alignment horizontal="center" vertical="center" wrapText="1"/>
    </xf>
    <xf numFmtId="176" fontId="0" fillId="0" borderId="6" xfId="0" applyNumberFormat="1" applyBorder="1" applyAlignment="1">
      <alignment vertical="center" wrapText="1"/>
    </xf>
    <xf numFmtId="176" fontId="0" fillId="0" borderId="9" xfId="0" applyNumberFormat="1" applyBorder="1" applyAlignment="1">
      <alignment vertical="center" wrapText="1"/>
    </xf>
    <xf numFmtId="176" fontId="0" fillId="4" borderId="11" xfId="0" applyNumberFormat="1" applyFill="1" applyBorder="1" applyAlignment="1">
      <alignment horizontal="center" vertical="center" wrapText="1"/>
    </xf>
    <xf numFmtId="176" fontId="0" fillId="4" borderId="8" xfId="0" applyNumberFormat="1" applyFill="1" applyBorder="1" applyAlignment="1">
      <alignment horizontal="center" vertical="center"/>
    </xf>
    <xf numFmtId="180" fontId="0" fillId="0" borderId="1" xfId="0" applyNumberForma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 wrapText="1"/>
    </xf>
    <xf numFmtId="176" fontId="0" fillId="4" borderId="4" xfId="0" applyNumberFormat="1" applyFill="1" applyBorder="1" applyAlignment="1">
      <alignment horizontal="center" vertical="center"/>
    </xf>
    <xf numFmtId="176" fontId="0" fillId="4" borderId="5" xfId="0" applyNumberFormat="1" applyFill="1" applyBorder="1" applyAlignment="1">
      <alignment horizontal="center" vertical="center" wrapText="1"/>
    </xf>
    <xf numFmtId="176" fontId="0" fillId="4" borderId="9" xfId="0" applyNumberFormat="1" applyFill="1" applyBorder="1" applyAlignment="1">
      <alignment horizontal="center" vertical="center" wrapText="1"/>
    </xf>
    <xf numFmtId="176" fontId="0" fillId="4" borderId="3" xfId="0" applyNumberFormat="1" applyFill="1" applyBorder="1" applyAlignment="1">
      <alignment horizontal="center" vertical="center"/>
    </xf>
    <xf numFmtId="176" fontId="0" fillId="4" borderId="7" xfId="0" applyNumberFormat="1" applyFill="1" applyBorder="1" applyAlignment="1">
      <alignment horizontal="center" vertical="center"/>
    </xf>
    <xf numFmtId="176" fontId="0" fillId="4" borderId="8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</cellXfs>
  <cellStyles count="6">
    <cellStyle name="백분율 2 2" xfId="4" xr:uid="{216103BD-4573-4D44-AE4E-D2EAD66B6386}"/>
    <cellStyle name="쉼표 [0] 2" xfId="5" xr:uid="{A6BA36D3-EFB2-4C87-9479-11543E3262F9}"/>
    <cellStyle name="쉼표 [0] 2 2" xfId="3" xr:uid="{5EF91E03-0CD7-4292-A5E7-F05E09124684}"/>
    <cellStyle name="표준" xfId="0" builtinId="0"/>
    <cellStyle name="표준 2" xfId="2" xr:uid="{8F6B3118-8CB6-42B0-892A-EC7E0845C9F5}"/>
    <cellStyle name="표준 2 3" xfId="1" xr:uid="{7C7F3895-E5C9-443B-A2BF-D5D82033DF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3C1DE-4377-4AB7-96F1-A34DF1BC0059}">
  <dimension ref="A1:AL89"/>
  <sheetViews>
    <sheetView tabSelected="1" topLeftCell="A19" workbookViewId="0">
      <selection activeCell="B33" sqref="B33"/>
    </sheetView>
  </sheetViews>
  <sheetFormatPr defaultRowHeight="18.45" customHeight="1" x14ac:dyDescent="0.15"/>
  <cols>
    <col min="1" max="1" width="25" customWidth="1"/>
    <col min="2" max="2" width="20" customWidth="1"/>
    <col min="3" max="3" width="8" customWidth="1"/>
    <col min="4" max="4" width="5" customWidth="1"/>
    <col min="5" max="12" width="13" customWidth="1"/>
    <col min="13" max="13" width="10" customWidth="1"/>
    <col min="14" max="59" width="0" hidden="1" customWidth="1"/>
  </cols>
  <sheetData>
    <row r="1" spans="1:34" ht="18.45" customHeight="1" x14ac:dyDescent="0.15">
      <c r="A1" t="s">
        <v>43</v>
      </c>
    </row>
    <row r="2" spans="1:34" ht="18.45" customHeight="1" x14ac:dyDescent="0.15">
      <c r="A2" s="26" t="s">
        <v>57</v>
      </c>
      <c r="B2" s="23" t="s">
        <v>169</v>
      </c>
      <c r="C2" s="23" t="s">
        <v>211</v>
      </c>
      <c r="D2" s="23" t="s">
        <v>141</v>
      </c>
      <c r="E2" s="23" t="s">
        <v>366</v>
      </c>
      <c r="F2" s="23" t="s">
        <v>378</v>
      </c>
      <c r="G2" s="23" t="s">
        <v>250</v>
      </c>
      <c r="H2" s="23" t="s">
        <v>378</v>
      </c>
      <c r="I2" s="23" t="s">
        <v>155</v>
      </c>
      <c r="J2" s="23" t="s">
        <v>378</v>
      </c>
      <c r="K2" s="23" t="s">
        <v>19</v>
      </c>
      <c r="L2" s="23" t="s">
        <v>378</v>
      </c>
      <c r="M2" s="24" t="s">
        <v>101</v>
      </c>
    </row>
    <row r="3" spans="1:34" ht="18.45" customHeight="1" x14ac:dyDescent="0.15">
      <c r="A3" s="27" t="s">
        <v>378</v>
      </c>
      <c r="B3" s="28" t="s">
        <v>378</v>
      </c>
      <c r="C3" s="28" t="s">
        <v>378</v>
      </c>
      <c r="D3" s="28" t="s">
        <v>378</v>
      </c>
      <c r="E3" s="16" t="s">
        <v>82</v>
      </c>
      <c r="F3" s="16" t="s">
        <v>47</v>
      </c>
      <c r="G3" s="16" t="s">
        <v>82</v>
      </c>
      <c r="H3" s="16" t="s">
        <v>47</v>
      </c>
      <c r="I3" s="16" t="s">
        <v>82</v>
      </c>
      <c r="J3" s="16" t="s">
        <v>47</v>
      </c>
      <c r="K3" s="16" t="s">
        <v>82</v>
      </c>
      <c r="L3" s="16" t="s">
        <v>47</v>
      </c>
      <c r="M3" s="25" t="s">
        <v>378</v>
      </c>
      <c r="S3" s="1" t="s">
        <v>124</v>
      </c>
      <c r="T3" s="1" t="s">
        <v>268</v>
      </c>
      <c r="U3" s="1" t="s">
        <v>132</v>
      </c>
      <c r="V3" s="1" t="s">
        <v>49</v>
      </c>
      <c r="W3" s="1" t="s">
        <v>17</v>
      </c>
      <c r="X3" s="1" t="s">
        <v>118</v>
      </c>
      <c r="Y3" s="1" t="s">
        <v>249</v>
      </c>
    </row>
    <row r="4" spans="1:34" ht="18.45" customHeight="1" x14ac:dyDescent="0.15">
      <c r="A4" s="6" t="s">
        <v>344</v>
      </c>
      <c r="B4" s="2" t="s">
        <v>378</v>
      </c>
      <c r="C4" s="2">
        <v>1</v>
      </c>
      <c r="D4" s="2" t="s">
        <v>299</v>
      </c>
      <c r="F4" s="17"/>
      <c r="H4" s="17"/>
      <c r="J4" s="17"/>
      <c r="L4" s="17"/>
      <c r="M4" s="13"/>
      <c r="N4" t="s">
        <v>378</v>
      </c>
      <c r="O4" t="s">
        <v>156</v>
      </c>
    </row>
    <row r="5" spans="1:34" ht="18.45" customHeight="1" x14ac:dyDescent="0.15">
      <c r="A5" s="6" t="s">
        <v>146</v>
      </c>
      <c r="B5" s="2" t="s">
        <v>378</v>
      </c>
      <c r="C5" s="2">
        <v>1</v>
      </c>
      <c r="D5" s="2" t="s">
        <v>299</v>
      </c>
      <c r="E5" s="17"/>
      <c r="F5" s="17"/>
      <c r="G5" s="17"/>
      <c r="H5" s="17"/>
      <c r="I5" s="17"/>
      <c r="J5" s="17"/>
      <c r="K5" s="17"/>
      <c r="L5" s="17"/>
      <c r="M5" s="13"/>
      <c r="N5" t="s">
        <v>378</v>
      </c>
      <c r="P5" t="s">
        <v>320</v>
      </c>
      <c r="Q5" t="s">
        <v>378</v>
      </c>
      <c r="R5" t="s">
        <v>68</v>
      </c>
      <c r="AA5" s="18" t="s">
        <v>37</v>
      </c>
      <c r="AB5" s="5">
        <f>ROUND(내역서!J5*16.5/100,2)</f>
        <v>0</v>
      </c>
      <c r="AC5" s="18" t="s">
        <v>150</v>
      </c>
      <c r="AD5" s="4">
        <f t="shared" ref="AD5:AD16" si="0">$AB5</f>
        <v>0</v>
      </c>
      <c r="AE5" s="19" t="s">
        <v>375</v>
      </c>
      <c r="AF5" s="5">
        <f>ROUND(ROUND(내역서!J5*16.5/100,2),2)</f>
        <v>0</v>
      </c>
      <c r="AG5" s="19" t="s">
        <v>209</v>
      </c>
      <c r="AH5" s="4">
        <f t="shared" ref="AH5:AH13" si="1">$AF5</f>
        <v>0</v>
      </c>
    </row>
    <row r="6" spans="1:34" ht="18.45" customHeight="1" x14ac:dyDescent="0.15">
      <c r="A6" s="6" t="s">
        <v>157</v>
      </c>
      <c r="B6" s="2" t="s">
        <v>21</v>
      </c>
      <c r="C6" s="2">
        <v>1</v>
      </c>
      <c r="D6" s="2" t="s">
        <v>299</v>
      </c>
      <c r="E6" s="17"/>
      <c r="F6" s="17"/>
      <c r="G6" s="1"/>
      <c r="H6" s="17"/>
      <c r="I6" s="1"/>
      <c r="J6" s="17"/>
      <c r="K6" s="1"/>
      <c r="L6" s="17"/>
      <c r="M6" s="13"/>
      <c r="N6" t="s">
        <v>378</v>
      </c>
      <c r="P6" t="s">
        <v>222</v>
      </c>
      <c r="Q6" t="s">
        <v>378</v>
      </c>
      <c r="R6" t="s">
        <v>309</v>
      </c>
      <c r="X6" t="s">
        <v>161</v>
      </c>
      <c r="AA6" s="18" t="s">
        <v>123</v>
      </c>
      <c r="AB6" s="5">
        <f>ROUND((내역서!J5+(내역서!H6+내역서!J6+내역서!L6))*3.56/100,2)</f>
        <v>0</v>
      </c>
      <c r="AC6" s="18" t="s">
        <v>203</v>
      </c>
      <c r="AD6" s="4">
        <f t="shared" si="0"/>
        <v>0</v>
      </c>
      <c r="AE6" s="19" t="s">
        <v>76</v>
      </c>
      <c r="AF6" s="5">
        <f>ROUND(ROUND((내역서!J5+(내역서!H6+내역서!J6+내역서!L6))*3.56/100,2),2)</f>
        <v>0</v>
      </c>
      <c r="AG6" s="19" t="s">
        <v>168</v>
      </c>
      <c r="AH6" s="4">
        <f t="shared" si="1"/>
        <v>0</v>
      </c>
    </row>
    <row r="7" spans="1:34" ht="18.45" customHeight="1" x14ac:dyDescent="0.15">
      <c r="A7" s="6" t="s">
        <v>83</v>
      </c>
      <c r="B7" s="2" t="s">
        <v>356</v>
      </c>
      <c r="C7" s="2">
        <v>1</v>
      </c>
      <c r="D7" s="2" t="s">
        <v>299</v>
      </c>
      <c r="E7" s="17"/>
      <c r="F7" s="17"/>
      <c r="G7" s="1"/>
      <c r="H7" s="17"/>
      <c r="I7" s="1"/>
      <c r="J7" s="17"/>
      <c r="K7" s="1"/>
      <c r="L7" s="17"/>
      <c r="M7" s="13"/>
      <c r="N7" t="s">
        <v>378</v>
      </c>
      <c r="P7" t="s">
        <v>137</v>
      </c>
      <c r="Q7" t="s">
        <v>378</v>
      </c>
      <c r="R7" t="s">
        <v>309</v>
      </c>
      <c r="X7" t="s">
        <v>75</v>
      </c>
      <c r="AA7" s="18" t="s">
        <v>123</v>
      </c>
      <c r="AB7" s="5">
        <f>ROUND((내역서!J5+(내역서!H6+내역서!J6+내역서!L6))*1.01/100,2)</f>
        <v>0</v>
      </c>
      <c r="AC7" s="18" t="s">
        <v>203</v>
      </c>
      <c r="AD7" s="4">
        <f t="shared" si="0"/>
        <v>0</v>
      </c>
      <c r="AE7" s="19" t="s">
        <v>181</v>
      </c>
      <c r="AF7" s="5">
        <f>ROUND(ROUND((내역서!J5+(내역서!H6+내역서!J6+내역서!L6))*1.01/100,2),2)</f>
        <v>0</v>
      </c>
      <c r="AG7" s="19" t="s">
        <v>353</v>
      </c>
      <c r="AH7" s="4">
        <f t="shared" si="1"/>
        <v>0</v>
      </c>
    </row>
    <row r="8" spans="1:34" ht="18.45" customHeight="1" x14ac:dyDescent="0.15">
      <c r="A8" s="6" t="s">
        <v>194</v>
      </c>
      <c r="B8" s="2" t="s">
        <v>315</v>
      </c>
      <c r="C8" s="2">
        <v>1</v>
      </c>
      <c r="D8" s="2" t="s">
        <v>299</v>
      </c>
      <c r="E8" s="17"/>
      <c r="F8" s="17"/>
      <c r="G8" s="1"/>
      <c r="H8" s="17"/>
      <c r="I8" s="1"/>
      <c r="J8" s="17"/>
      <c r="K8" s="1"/>
      <c r="L8" s="17"/>
      <c r="M8" s="13"/>
      <c r="N8" t="s">
        <v>378</v>
      </c>
      <c r="P8" t="s">
        <v>33</v>
      </c>
      <c r="Q8" t="s">
        <v>378</v>
      </c>
      <c r="R8" t="s">
        <v>309</v>
      </c>
      <c r="X8" t="s">
        <v>327</v>
      </c>
      <c r="AA8" s="18" t="s">
        <v>123</v>
      </c>
      <c r="AB8" s="5">
        <f>ROUND(내역서!J5*3.545/100,2)</f>
        <v>0</v>
      </c>
      <c r="AC8" s="18" t="s">
        <v>203</v>
      </c>
      <c r="AD8" s="4">
        <f t="shared" si="0"/>
        <v>0</v>
      </c>
      <c r="AE8" s="19" t="s">
        <v>245</v>
      </c>
      <c r="AF8" s="5">
        <f>ROUND(ROUND(내역서!J5*3.545/100,2),2)</f>
        <v>0</v>
      </c>
      <c r="AG8" s="19" t="s">
        <v>98</v>
      </c>
      <c r="AH8" s="4">
        <f t="shared" si="1"/>
        <v>0</v>
      </c>
    </row>
    <row r="9" spans="1:34" ht="18.45" customHeight="1" x14ac:dyDescent="0.15">
      <c r="A9" s="6" t="s">
        <v>55</v>
      </c>
      <c r="B9" s="2" t="s">
        <v>295</v>
      </c>
      <c r="C9" s="2">
        <v>1</v>
      </c>
      <c r="D9" s="2" t="s">
        <v>299</v>
      </c>
      <c r="E9" s="17"/>
      <c r="F9" s="17"/>
      <c r="G9" s="1"/>
      <c r="H9" s="17"/>
      <c r="I9" s="1"/>
      <c r="J9" s="17"/>
      <c r="K9" s="1"/>
      <c r="L9" s="17"/>
      <c r="M9" s="13"/>
      <c r="N9" t="s">
        <v>378</v>
      </c>
      <c r="P9" t="s">
        <v>313</v>
      </c>
      <c r="Q9" t="s">
        <v>378</v>
      </c>
      <c r="R9" t="s">
        <v>309</v>
      </c>
      <c r="X9" t="s">
        <v>242</v>
      </c>
      <c r="AA9" s="18" t="s">
        <v>123</v>
      </c>
      <c r="AB9" s="5">
        <f>ROUND(내역서!J5*4.5/100,2)</f>
        <v>0</v>
      </c>
      <c r="AC9" s="18" t="s">
        <v>203</v>
      </c>
      <c r="AD9" s="4">
        <f t="shared" si="0"/>
        <v>0</v>
      </c>
      <c r="AE9" s="19" t="s">
        <v>343</v>
      </c>
      <c r="AF9" s="5">
        <f>ROUND(ROUND(내역서!J5*4.5/100,2),2)</f>
        <v>0</v>
      </c>
      <c r="AG9" s="19" t="s">
        <v>322</v>
      </c>
      <c r="AH9" s="4">
        <f t="shared" si="1"/>
        <v>0</v>
      </c>
    </row>
    <row r="10" spans="1:34" ht="18.45" customHeight="1" x14ac:dyDescent="0.15">
      <c r="A10" s="6" t="s">
        <v>326</v>
      </c>
      <c r="B10" s="2" t="s">
        <v>256</v>
      </c>
      <c r="C10" s="2">
        <v>1</v>
      </c>
      <c r="D10" s="2" t="s">
        <v>299</v>
      </c>
      <c r="E10" s="17"/>
      <c r="F10" s="17"/>
      <c r="G10" s="1"/>
      <c r="H10" s="17"/>
      <c r="I10" s="1"/>
      <c r="J10" s="17"/>
      <c r="K10" s="1"/>
      <c r="L10" s="17"/>
      <c r="M10" s="13"/>
      <c r="N10" t="s">
        <v>378</v>
      </c>
      <c r="P10" t="s">
        <v>217</v>
      </c>
      <c r="Q10" t="s">
        <v>378</v>
      </c>
      <c r="R10" t="s">
        <v>309</v>
      </c>
      <c r="X10" t="s">
        <v>374</v>
      </c>
      <c r="AA10" s="18" t="s">
        <v>123</v>
      </c>
      <c r="AB10" s="5">
        <f>ROUND(내역서!L9*12.95/100,2)</f>
        <v>0</v>
      </c>
      <c r="AC10" s="18" t="s">
        <v>203</v>
      </c>
      <c r="AD10" s="4">
        <f t="shared" si="0"/>
        <v>0</v>
      </c>
      <c r="AE10" s="19" t="s">
        <v>158</v>
      </c>
      <c r="AF10" s="5">
        <f>ROUND(ROUND(내역서!L9*12.95/100,2),2)</f>
        <v>0</v>
      </c>
      <c r="AG10" s="19" t="s">
        <v>231</v>
      </c>
      <c r="AH10" s="4">
        <f t="shared" si="1"/>
        <v>0</v>
      </c>
    </row>
    <row r="11" spans="1:34" ht="18.45" customHeight="1" x14ac:dyDescent="0.15">
      <c r="A11" s="6" t="s">
        <v>102</v>
      </c>
      <c r="B11" s="2" t="s">
        <v>314</v>
      </c>
      <c r="C11" s="2">
        <v>1</v>
      </c>
      <c r="D11" s="2" t="s">
        <v>299</v>
      </c>
      <c r="E11" s="17"/>
      <c r="F11" s="17"/>
      <c r="G11" s="1"/>
      <c r="H11" s="17"/>
      <c r="I11" s="1"/>
      <c r="J11" s="17"/>
      <c r="K11" s="1"/>
      <c r="L11" s="17"/>
      <c r="M11" s="13"/>
      <c r="N11" t="s">
        <v>378</v>
      </c>
      <c r="P11" t="s">
        <v>131</v>
      </c>
      <c r="Q11" t="s">
        <v>378</v>
      </c>
      <c r="R11" t="s">
        <v>309</v>
      </c>
      <c r="X11" t="s">
        <v>263</v>
      </c>
      <c r="AA11" s="18" t="s">
        <v>123</v>
      </c>
      <c r="AB11" s="5">
        <f>ROUND(내역서!J5*2.3/100,2)</f>
        <v>0</v>
      </c>
      <c r="AC11" s="18" t="s">
        <v>203</v>
      </c>
      <c r="AD11" s="4">
        <f t="shared" si="0"/>
        <v>0</v>
      </c>
      <c r="AE11" s="19" t="s">
        <v>66</v>
      </c>
      <c r="AF11" s="5">
        <f>ROUND(ROUND(내역서!J5*2.3/100,2),2)</f>
        <v>0</v>
      </c>
      <c r="AG11" s="19" t="s">
        <v>92</v>
      </c>
      <c r="AH11" s="4">
        <f t="shared" si="1"/>
        <v>0</v>
      </c>
    </row>
    <row r="12" spans="1:34" ht="18.45" customHeight="1" x14ac:dyDescent="0.15">
      <c r="A12" s="6" t="s">
        <v>258</v>
      </c>
      <c r="B12" s="2" t="s">
        <v>341</v>
      </c>
      <c r="C12" s="2">
        <v>1</v>
      </c>
      <c r="D12" s="2" t="s">
        <v>299</v>
      </c>
      <c r="E12" s="17"/>
      <c r="F12" s="17"/>
      <c r="G12" s="1"/>
      <c r="H12" s="17"/>
      <c r="I12" s="1"/>
      <c r="J12" s="17"/>
      <c r="K12" s="1"/>
      <c r="L12" s="17"/>
      <c r="M12" s="13"/>
      <c r="N12" t="s">
        <v>378</v>
      </c>
      <c r="P12" t="s">
        <v>28</v>
      </c>
      <c r="Q12" t="s">
        <v>378</v>
      </c>
      <c r="R12" t="s">
        <v>309</v>
      </c>
      <c r="X12" t="s">
        <v>90</v>
      </c>
      <c r="AA12" s="18" t="s">
        <v>123</v>
      </c>
      <c r="AB12" s="5">
        <f>ROUND(MIN(0,0),2)</f>
        <v>0</v>
      </c>
      <c r="AC12" s="18" t="s">
        <v>203</v>
      </c>
      <c r="AD12" s="4">
        <f t="shared" si="0"/>
        <v>0</v>
      </c>
      <c r="AE12" s="19" t="s">
        <v>346</v>
      </c>
      <c r="AF12" s="5">
        <f>ROUND(ROUND(MIN(0,0),2),2)</f>
        <v>0</v>
      </c>
      <c r="AG12" s="19" t="s">
        <v>321</v>
      </c>
      <c r="AH12" s="4">
        <f t="shared" si="1"/>
        <v>0</v>
      </c>
    </row>
    <row r="13" spans="1:34" ht="18.45" customHeight="1" x14ac:dyDescent="0.15">
      <c r="A13" s="6" t="s">
        <v>262</v>
      </c>
      <c r="B13" s="2" t="s">
        <v>7</v>
      </c>
      <c r="C13" s="2">
        <v>1</v>
      </c>
      <c r="D13" s="2" t="s">
        <v>299</v>
      </c>
      <c r="E13" s="17"/>
      <c r="F13" s="17"/>
      <c r="G13" s="1"/>
      <c r="H13" s="17"/>
      <c r="I13" s="1"/>
      <c r="J13" s="17"/>
      <c r="K13" s="1"/>
      <c r="L13" s="17"/>
      <c r="M13" s="13"/>
      <c r="N13" t="s">
        <v>378</v>
      </c>
      <c r="P13" t="s">
        <v>26</v>
      </c>
      <c r="Q13" t="s">
        <v>378</v>
      </c>
      <c r="R13" t="s">
        <v>309</v>
      </c>
      <c r="X13" t="s">
        <v>105</v>
      </c>
      <c r="AA13" s="18" t="s">
        <v>123</v>
      </c>
      <c r="AB13" s="5">
        <f>ROUND((내역서!H5+내역서!J5+0)*(3.15/100)+0,2)</f>
        <v>0</v>
      </c>
      <c r="AC13" s="18" t="s">
        <v>203</v>
      </c>
      <c r="AD13" s="4">
        <f t="shared" si="0"/>
        <v>0</v>
      </c>
      <c r="AE13" s="19" t="s">
        <v>241</v>
      </c>
      <c r="AF13" s="5">
        <f>ROUND(ROUND((내역서!H5+내역서!J5+0)*(3.15/100)+0,2),2)</f>
        <v>0</v>
      </c>
      <c r="AG13" s="19" t="s">
        <v>97</v>
      </c>
      <c r="AH13" s="4">
        <f t="shared" si="1"/>
        <v>0</v>
      </c>
    </row>
    <row r="14" spans="1:34" ht="18.45" customHeight="1" x14ac:dyDescent="0.15">
      <c r="A14" s="6" t="s">
        <v>336</v>
      </c>
      <c r="B14" s="2" t="s">
        <v>291</v>
      </c>
      <c r="C14" s="2">
        <v>1</v>
      </c>
      <c r="D14" s="2" t="s">
        <v>299</v>
      </c>
      <c r="E14" s="17"/>
      <c r="F14" s="17"/>
      <c r="G14" s="1"/>
      <c r="H14" s="17"/>
      <c r="I14" s="1"/>
      <c r="J14" s="17"/>
      <c r="K14" s="1"/>
      <c r="L14" s="17"/>
      <c r="M14" s="13"/>
      <c r="N14" t="s">
        <v>378</v>
      </c>
      <c r="P14" t="s">
        <v>126</v>
      </c>
      <c r="Q14" t="s">
        <v>232</v>
      </c>
      <c r="R14" t="s">
        <v>309</v>
      </c>
      <c r="X14" t="s">
        <v>162</v>
      </c>
      <c r="AA14" s="18" t="s">
        <v>123</v>
      </c>
      <c r="AB14" s="5">
        <f>TRUNC(((내역서!H5+내역서!J5)*(3.15/100)+0)*1.2,0)</f>
        <v>0</v>
      </c>
      <c r="AC14" s="18" t="s">
        <v>203</v>
      </c>
      <c r="AD14" s="4">
        <f t="shared" si="0"/>
        <v>0</v>
      </c>
    </row>
    <row r="15" spans="1:34" ht="18.45" customHeight="1" x14ac:dyDescent="0.15">
      <c r="A15" s="6" t="s">
        <v>234</v>
      </c>
      <c r="B15" s="2" t="s">
        <v>230</v>
      </c>
      <c r="C15" s="2">
        <v>1</v>
      </c>
      <c r="D15" s="2" t="s">
        <v>299</v>
      </c>
      <c r="E15" s="17"/>
      <c r="F15" s="17"/>
      <c r="G15" s="1"/>
      <c r="H15" s="17"/>
      <c r="I15" s="1"/>
      <c r="J15" s="17"/>
      <c r="K15" s="1"/>
      <c r="L15" s="17"/>
      <c r="M15" s="13"/>
      <c r="N15" t="s">
        <v>378</v>
      </c>
      <c r="P15" t="s">
        <v>216</v>
      </c>
      <c r="Q15" t="s">
        <v>232</v>
      </c>
      <c r="R15" t="s">
        <v>309</v>
      </c>
      <c r="X15" t="s">
        <v>357</v>
      </c>
      <c r="AA15" s="18" t="s">
        <v>123</v>
      </c>
      <c r="AB15" s="5">
        <f>ROUND((내역서!H5+내역서!J5+내역서!L5)*0.9/100,2)</f>
        <v>0</v>
      </c>
      <c r="AC15" s="18" t="s">
        <v>203</v>
      </c>
      <c r="AD15" s="4">
        <f t="shared" si="0"/>
        <v>0</v>
      </c>
      <c r="AE15" s="19" t="s">
        <v>50</v>
      </c>
      <c r="AF15" s="5">
        <f>ROUND(ROUND((내역서!H5+내역서!J5+내역서!L5)*0.9/100,2),2)</f>
        <v>0</v>
      </c>
      <c r="AG15" s="19" t="s">
        <v>289</v>
      </c>
      <c r="AH15" s="4">
        <f>$AF15</f>
        <v>0</v>
      </c>
    </row>
    <row r="16" spans="1:34" ht="18.45" customHeight="1" x14ac:dyDescent="0.15">
      <c r="A16" s="6" t="s">
        <v>52</v>
      </c>
      <c r="B16" s="2" t="s">
        <v>175</v>
      </c>
      <c r="C16" s="2">
        <v>1</v>
      </c>
      <c r="D16" s="2" t="s">
        <v>299</v>
      </c>
      <c r="E16" s="17"/>
      <c r="F16" s="17"/>
      <c r="G16" s="1"/>
      <c r="H16" s="17"/>
      <c r="I16" s="1"/>
      <c r="J16" s="17"/>
      <c r="K16" s="1"/>
      <c r="L16" s="17"/>
      <c r="M16" s="13"/>
      <c r="N16" t="s">
        <v>378</v>
      </c>
      <c r="P16" t="s">
        <v>308</v>
      </c>
      <c r="Q16" t="s">
        <v>378</v>
      </c>
      <c r="R16" t="s">
        <v>309</v>
      </c>
      <c r="X16" t="s">
        <v>147</v>
      </c>
      <c r="AA16" s="18" t="s">
        <v>123</v>
      </c>
      <c r="AB16" s="5">
        <f>ROUND((내역서!H5+내역서!J5+(내역서!H6+내역서!J6+내역서!L6))*5.2/100,2)</f>
        <v>0</v>
      </c>
      <c r="AC16" s="18" t="s">
        <v>203</v>
      </c>
      <c r="AD16" s="4">
        <f t="shared" si="0"/>
        <v>0</v>
      </c>
      <c r="AE16" s="19" t="s">
        <v>338</v>
      </c>
      <c r="AF16" s="5">
        <f>ROUND(ROUND((내역서!H5+내역서!J5+(내역서!H6+내역서!J6+내역서!L6))*5.2/100,2),2)</f>
        <v>0</v>
      </c>
      <c r="AG16" s="19" t="s">
        <v>51</v>
      </c>
      <c r="AH16" s="4">
        <f>$AF16</f>
        <v>0</v>
      </c>
    </row>
    <row r="17" spans="1:38" ht="18.45" customHeight="1" x14ac:dyDescent="0.15">
      <c r="A17" s="6" t="s">
        <v>187</v>
      </c>
      <c r="B17" s="2" t="s">
        <v>143</v>
      </c>
      <c r="C17" s="2">
        <v>1</v>
      </c>
      <c r="D17" s="2" t="s">
        <v>299</v>
      </c>
      <c r="E17" s="17"/>
      <c r="F17" s="17"/>
      <c r="G17" s="1"/>
      <c r="H17" s="17"/>
      <c r="I17" s="1"/>
      <c r="J17" s="17"/>
      <c r="K17" s="1"/>
      <c r="L17" s="17"/>
      <c r="M17" s="13"/>
      <c r="N17" t="s">
        <v>378</v>
      </c>
      <c r="P17" t="s">
        <v>18</v>
      </c>
      <c r="Q17" t="s">
        <v>378</v>
      </c>
      <c r="R17" t="s">
        <v>309</v>
      </c>
      <c r="X17" t="s">
        <v>185</v>
      </c>
    </row>
    <row r="18" spans="1:38" ht="18.45" customHeight="1" x14ac:dyDescent="0.15">
      <c r="A18" s="6" t="s">
        <v>280</v>
      </c>
      <c r="B18" s="2" t="s">
        <v>378</v>
      </c>
      <c r="C18" s="2">
        <v>1</v>
      </c>
      <c r="D18" s="2" t="s">
        <v>299</v>
      </c>
      <c r="E18" s="17"/>
      <c r="F18" s="17"/>
      <c r="G18" s="17"/>
      <c r="H18" s="17"/>
      <c r="I18" s="17"/>
      <c r="J18" s="17"/>
      <c r="K18" s="17"/>
      <c r="L18" s="17"/>
      <c r="M18" s="13"/>
      <c r="N18" t="s">
        <v>378</v>
      </c>
      <c r="P18" t="s">
        <v>122</v>
      </c>
      <c r="Q18" t="s">
        <v>378</v>
      </c>
      <c r="R18" t="s">
        <v>372</v>
      </c>
      <c r="AA18" s="18" t="s">
        <v>123</v>
      </c>
      <c r="AB18" s="5">
        <f>ROUND((내역서!H5+내역서!J5+내역서!L5)*0.68/100,2)</f>
        <v>0</v>
      </c>
      <c r="AC18" s="18" t="s">
        <v>203</v>
      </c>
      <c r="AD18" s="4">
        <f t="shared" ref="AD18:AD24" si="2">$AB18</f>
        <v>0</v>
      </c>
      <c r="AE18" s="19" t="s">
        <v>171</v>
      </c>
      <c r="AF18" s="5">
        <f>ROUND(ROUND((내역서!H5+내역서!J5+내역서!L5)*0.68/100,2),2)</f>
        <v>0</v>
      </c>
      <c r="AG18" s="19" t="s">
        <v>27</v>
      </c>
      <c r="AH18" s="4">
        <f>$AF18</f>
        <v>0</v>
      </c>
    </row>
    <row r="19" spans="1:38" ht="18.45" customHeight="1" x14ac:dyDescent="0.15">
      <c r="A19" s="6" t="s">
        <v>279</v>
      </c>
      <c r="B19" s="2" t="s">
        <v>335</v>
      </c>
      <c r="C19" s="2">
        <v>1</v>
      </c>
      <c r="D19" s="2" t="s">
        <v>299</v>
      </c>
      <c r="E19" s="17"/>
      <c r="F19" s="17"/>
      <c r="G19" s="1"/>
      <c r="H19" s="17"/>
      <c r="I19" s="1"/>
      <c r="J19" s="17"/>
      <c r="K19" s="1"/>
      <c r="L19" s="17"/>
      <c r="M19" s="13"/>
      <c r="N19" t="s">
        <v>378</v>
      </c>
      <c r="P19" t="s">
        <v>210</v>
      </c>
      <c r="Q19" t="s">
        <v>378</v>
      </c>
      <c r="R19" t="s">
        <v>309</v>
      </c>
      <c r="X19" t="s">
        <v>3</v>
      </c>
      <c r="AA19" s="18" t="s">
        <v>271</v>
      </c>
      <c r="AB19" s="5">
        <f>(내역서!H5+내역서!H6+내역서!H7+내역서!H8+내역서!H9+내역서!H10+내역서!H11+내역서!H12+내역서!H13)+(내역서!H16+내역서!H17+내역서!H18+내역서!H19)</f>
        <v>0</v>
      </c>
      <c r="AC19" s="18" t="s">
        <v>306</v>
      </c>
      <c r="AD19" s="4">
        <f t="shared" si="2"/>
        <v>0</v>
      </c>
    </row>
    <row r="20" spans="1:38" ht="18.45" customHeight="1" x14ac:dyDescent="0.15">
      <c r="A20" s="6" t="s">
        <v>6</v>
      </c>
      <c r="B20" s="2" t="s">
        <v>378</v>
      </c>
      <c r="C20" s="2">
        <v>1</v>
      </c>
      <c r="D20" s="2" t="s">
        <v>299</v>
      </c>
      <c r="E20" s="17"/>
      <c r="F20" s="17"/>
      <c r="G20" s="1"/>
      <c r="H20" s="17"/>
      <c r="I20" s="1"/>
      <c r="J20" s="17"/>
      <c r="K20" s="1"/>
      <c r="L20" s="17"/>
      <c r="M20" s="13"/>
      <c r="N20" t="s">
        <v>378</v>
      </c>
      <c r="P20" t="s">
        <v>302</v>
      </c>
      <c r="Q20" t="s">
        <v>232</v>
      </c>
      <c r="R20" t="s">
        <v>309</v>
      </c>
      <c r="X20" t="s">
        <v>12</v>
      </c>
      <c r="AA20" s="18" t="s">
        <v>123</v>
      </c>
      <c r="AB20" s="5">
        <f>((내역서!H20+내역서!J20+내역서!L20))*6/100</f>
        <v>0</v>
      </c>
      <c r="AC20" s="18" t="s">
        <v>203</v>
      </c>
      <c r="AD20" s="4">
        <f t="shared" si="2"/>
        <v>0</v>
      </c>
    </row>
    <row r="21" spans="1:38" ht="18.45" customHeight="1" x14ac:dyDescent="0.15">
      <c r="A21" s="6" t="s">
        <v>307</v>
      </c>
      <c r="B21" s="2" t="s">
        <v>260</v>
      </c>
      <c r="C21" s="2">
        <v>1</v>
      </c>
      <c r="D21" s="2" t="s">
        <v>299</v>
      </c>
      <c r="E21" s="17"/>
      <c r="F21" s="17"/>
      <c r="G21" s="1"/>
      <c r="H21" s="17"/>
      <c r="I21" s="1"/>
      <c r="J21" s="17"/>
      <c r="K21" s="1"/>
      <c r="L21" s="17"/>
      <c r="M21" s="13"/>
      <c r="N21" t="s">
        <v>378</v>
      </c>
      <c r="P21" t="s">
        <v>40</v>
      </c>
      <c r="Q21" t="s">
        <v>378</v>
      </c>
      <c r="R21" t="s">
        <v>309</v>
      </c>
      <c r="X21" t="s">
        <v>361</v>
      </c>
      <c r="AA21" s="18" t="s">
        <v>123</v>
      </c>
      <c r="AB21" s="5">
        <f>((내역서!J20+내역서!L20+(내역서!H21+내역서!J21+내역서!L21))*0.15)-(2652/1.1)</f>
        <v>-2410.9090909090905</v>
      </c>
      <c r="AC21" s="18" t="s">
        <v>203</v>
      </c>
      <c r="AD21" s="4">
        <f t="shared" si="2"/>
        <v>-2410.9090909090905</v>
      </c>
    </row>
    <row r="22" spans="1:38" ht="18.45" customHeight="1" x14ac:dyDescent="0.15">
      <c r="A22" s="6" t="s">
        <v>224</v>
      </c>
      <c r="B22" s="2" t="s">
        <v>328</v>
      </c>
      <c r="C22" s="2">
        <v>1</v>
      </c>
      <c r="D22" s="2" t="s">
        <v>299</v>
      </c>
      <c r="E22" s="17"/>
      <c r="F22" s="17"/>
      <c r="G22" s="1"/>
      <c r="H22" s="17"/>
      <c r="I22" s="1"/>
      <c r="J22" s="17"/>
      <c r="K22" s="1"/>
      <c r="L22" s="17"/>
      <c r="M22" s="13"/>
      <c r="N22" t="s">
        <v>378</v>
      </c>
      <c r="P22" t="s">
        <v>140</v>
      </c>
      <c r="Q22" t="s">
        <v>378</v>
      </c>
      <c r="R22" t="s">
        <v>309</v>
      </c>
      <c r="X22" t="s">
        <v>36</v>
      </c>
      <c r="AA22" s="18" t="s">
        <v>271</v>
      </c>
      <c r="AB22" s="5">
        <f>ROUND((내역서!H20+내역서!H21+내역서!H22),2)</f>
        <v>0</v>
      </c>
      <c r="AC22" s="18" t="s">
        <v>306</v>
      </c>
      <c r="AD22" s="4">
        <f t="shared" si="2"/>
        <v>0</v>
      </c>
      <c r="AE22" s="18" t="s">
        <v>37</v>
      </c>
      <c r="AF22" s="5">
        <f>ROUND((내역서!J20+내역서!J21+내역서!J22),2)</f>
        <v>0</v>
      </c>
      <c r="AG22" s="18" t="s">
        <v>150</v>
      </c>
      <c r="AH22" s="4">
        <f>$AF22</f>
        <v>0</v>
      </c>
      <c r="AI22" s="18" t="s">
        <v>123</v>
      </c>
      <c r="AJ22" s="5">
        <f>ROUND((내역서!L20+내역서!L21+내역서!L22),2)</f>
        <v>0</v>
      </c>
      <c r="AK22" s="18" t="s">
        <v>203</v>
      </c>
      <c r="AL22" s="4">
        <f>$AJ22</f>
        <v>0</v>
      </c>
    </row>
    <row r="23" spans="1:38" ht="18.45" customHeight="1" x14ac:dyDescent="0.15">
      <c r="A23" s="6" t="s">
        <v>318</v>
      </c>
      <c r="B23" s="2" t="s">
        <v>378</v>
      </c>
      <c r="C23" s="2">
        <v>1</v>
      </c>
      <c r="D23" s="2" t="s">
        <v>299</v>
      </c>
      <c r="E23" s="17"/>
      <c r="F23" s="17"/>
      <c r="G23" s="1"/>
      <c r="H23" s="17"/>
      <c r="I23" s="1"/>
      <c r="J23" s="17"/>
      <c r="K23" s="1"/>
      <c r="L23" s="17"/>
      <c r="M23" s="13"/>
      <c r="N23" t="s">
        <v>378</v>
      </c>
      <c r="P23" t="s">
        <v>115</v>
      </c>
      <c r="Q23" t="s">
        <v>232</v>
      </c>
      <c r="R23" t="s">
        <v>309</v>
      </c>
      <c r="X23" t="s">
        <v>274</v>
      </c>
      <c r="AA23" s="18" t="s">
        <v>123</v>
      </c>
      <c r="AB23" s="5">
        <f>(내역서!H23+내역서!J23+내역서!L23)*0.1</f>
        <v>0</v>
      </c>
      <c r="AC23" s="18" t="s">
        <v>203</v>
      </c>
      <c r="AD23" s="4">
        <f t="shared" si="2"/>
        <v>0</v>
      </c>
    </row>
    <row r="24" spans="1:38" ht="18.45" customHeight="1" x14ac:dyDescent="0.15">
      <c r="A24" s="6" t="s">
        <v>373</v>
      </c>
      <c r="B24" s="2" t="s">
        <v>378</v>
      </c>
      <c r="C24" s="2">
        <v>1</v>
      </c>
      <c r="D24" s="2" t="s">
        <v>299</v>
      </c>
      <c r="E24" s="17"/>
      <c r="F24" s="17"/>
      <c r="G24" s="1"/>
      <c r="H24" s="17"/>
      <c r="I24" s="1"/>
      <c r="J24" s="17"/>
      <c r="K24" s="1"/>
      <c r="L24" s="17"/>
      <c r="M24" s="13"/>
      <c r="N24" t="s">
        <v>378</v>
      </c>
      <c r="P24" t="s">
        <v>16</v>
      </c>
      <c r="Q24" t="s">
        <v>378</v>
      </c>
      <c r="R24" t="s">
        <v>309</v>
      </c>
      <c r="X24" t="s">
        <v>200</v>
      </c>
      <c r="AA24" s="18" t="s">
        <v>271</v>
      </c>
      <c r="AB24" s="5">
        <f>ROUND((내역서!H23+내역서!H24),2)</f>
        <v>0</v>
      </c>
      <c r="AC24" s="18" t="s">
        <v>306</v>
      </c>
      <c r="AD24" s="4">
        <f t="shared" si="2"/>
        <v>0</v>
      </c>
      <c r="AE24" s="18" t="s">
        <v>37</v>
      </c>
      <c r="AF24" s="5">
        <f>ROUND((내역서!J23+내역서!J24),2)</f>
        <v>0</v>
      </c>
      <c r="AG24" s="18" t="s">
        <v>150</v>
      </c>
      <c r="AH24" s="4">
        <f>$AF24</f>
        <v>0</v>
      </c>
      <c r="AI24" s="18" t="s">
        <v>123</v>
      </c>
      <c r="AJ24" s="5">
        <f>ROUND((내역서!L23+내역서!L24),2)</f>
        <v>0</v>
      </c>
      <c r="AK24" s="18" t="s">
        <v>203</v>
      </c>
      <c r="AL24" s="4">
        <f>$AJ24</f>
        <v>0</v>
      </c>
    </row>
    <row r="25" spans="1:38" ht="18.45" customHeight="1" x14ac:dyDescent="0.15">
      <c r="A25" s="6" t="s">
        <v>303</v>
      </c>
      <c r="B25" s="2" t="s">
        <v>378</v>
      </c>
      <c r="C25" s="2">
        <v>1</v>
      </c>
      <c r="D25" s="2" t="s">
        <v>299</v>
      </c>
      <c r="E25" s="17"/>
      <c r="F25" s="17"/>
      <c r="G25" s="1"/>
      <c r="H25" s="17"/>
      <c r="I25" s="1"/>
      <c r="J25" s="17"/>
      <c r="K25" s="1"/>
      <c r="L25" s="17"/>
      <c r="M25" s="13"/>
      <c r="N25" t="s">
        <v>378</v>
      </c>
      <c r="P25" t="s">
        <v>298</v>
      </c>
      <c r="Q25" t="s">
        <v>232</v>
      </c>
      <c r="R25" t="s">
        <v>309</v>
      </c>
      <c r="X25" t="s">
        <v>139</v>
      </c>
    </row>
    <row r="26" spans="1:38" ht="18.45" customHeight="1" x14ac:dyDescent="0.15">
      <c r="A26" s="6" t="s">
        <v>221</v>
      </c>
      <c r="B26" s="2" t="s">
        <v>378</v>
      </c>
      <c r="C26" s="2">
        <v>1</v>
      </c>
      <c r="D26" s="2" t="s">
        <v>299</v>
      </c>
      <c r="E26" s="17"/>
      <c r="F26" s="17"/>
      <c r="G26" s="17"/>
      <c r="H26" s="17"/>
      <c r="I26" s="17"/>
      <c r="J26" s="17"/>
      <c r="K26" s="17"/>
      <c r="L26" s="17"/>
      <c r="M26" s="13"/>
      <c r="N26" t="s">
        <v>378</v>
      </c>
      <c r="P26" t="s">
        <v>208</v>
      </c>
      <c r="Q26" t="s">
        <v>378</v>
      </c>
      <c r="R26" t="s">
        <v>99</v>
      </c>
      <c r="AA26" s="18" t="s">
        <v>271</v>
      </c>
      <c r="AB26" s="5">
        <f>ROUND((내역서!H25+내역서!H26),2)</f>
        <v>0</v>
      </c>
      <c r="AC26" s="18" t="s">
        <v>306</v>
      </c>
      <c r="AD26" s="4">
        <f>$AB26</f>
        <v>0</v>
      </c>
      <c r="AE26" s="18" t="s">
        <v>37</v>
      </c>
      <c r="AF26" s="5">
        <f>ROUND((내역서!J25+내역서!J26),2)</f>
        <v>0</v>
      </c>
      <c r="AG26" s="18" t="s">
        <v>150</v>
      </c>
      <c r="AH26" s="4">
        <f>$AF26</f>
        <v>0</v>
      </c>
      <c r="AI26" s="18" t="s">
        <v>123</v>
      </c>
      <c r="AJ26" s="5">
        <f>ROUND((내역서!L25+내역서!L26),2)</f>
        <v>0</v>
      </c>
      <c r="AK26" s="18" t="s">
        <v>203</v>
      </c>
      <c r="AL26" s="4">
        <f>$AJ26</f>
        <v>0</v>
      </c>
    </row>
    <row r="27" spans="1:38" ht="18.45" customHeight="1" x14ac:dyDescent="0.15">
      <c r="A27" s="6" t="s">
        <v>69</v>
      </c>
      <c r="B27" s="2" t="s">
        <v>378</v>
      </c>
      <c r="C27" s="2">
        <v>1</v>
      </c>
      <c r="D27" s="2" t="s">
        <v>299</v>
      </c>
      <c r="E27" s="17"/>
      <c r="F27" s="17"/>
      <c r="G27" s="1"/>
      <c r="H27" s="17"/>
      <c r="I27" s="1"/>
      <c r="J27" s="17"/>
      <c r="K27" s="1"/>
      <c r="L27" s="17"/>
      <c r="M27" s="13"/>
      <c r="N27" t="s">
        <v>378</v>
      </c>
      <c r="P27" t="s">
        <v>113</v>
      </c>
      <c r="Q27" t="s">
        <v>232</v>
      </c>
      <c r="R27" t="s">
        <v>309</v>
      </c>
      <c r="X27" t="s">
        <v>257</v>
      </c>
    </row>
    <row r="28" spans="1:38" ht="18.45" customHeight="1" x14ac:dyDescent="0.15">
      <c r="A28" s="6" t="s">
        <v>154</v>
      </c>
      <c r="B28" s="2" t="s">
        <v>378</v>
      </c>
      <c r="C28" s="2"/>
      <c r="D28" s="2" t="s">
        <v>378</v>
      </c>
      <c r="E28" s="17"/>
      <c r="F28" s="17"/>
      <c r="G28" s="1"/>
      <c r="H28" s="17"/>
      <c r="I28" s="1"/>
      <c r="J28" s="17"/>
      <c r="K28" s="1"/>
      <c r="L28" s="17"/>
      <c r="M28" s="13"/>
      <c r="N28" t="s">
        <v>378</v>
      </c>
      <c r="P28" t="s">
        <v>294</v>
      </c>
      <c r="Q28" t="s">
        <v>89</v>
      </c>
      <c r="R28" t="s">
        <v>378</v>
      </c>
    </row>
    <row r="29" spans="1:38" ht="18.45" customHeight="1" x14ac:dyDescent="0.15">
      <c r="A29" s="6" t="s">
        <v>297</v>
      </c>
      <c r="B29" s="2" t="s">
        <v>378</v>
      </c>
      <c r="C29" s="2">
        <v>1</v>
      </c>
      <c r="D29" s="2" t="s">
        <v>299</v>
      </c>
      <c r="E29" s="1"/>
      <c r="F29" s="17"/>
      <c r="G29" s="1"/>
      <c r="H29" s="17"/>
      <c r="I29" s="1"/>
      <c r="J29" s="17"/>
      <c r="K29" s="1"/>
      <c r="L29" s="17"/>
      <c r="M29" s="13"/>
      <c r="N29" t="s">
        <v>378</v>
      </c>
      <c r="O29" t="s">
        <v>68</v>
      </c>
    </row>
    <row r="30" spans="1:38" ht="18.45" customHeight="1" x14ac:dyDescent="0.15">
      <c r="A30" s="6" t="s">
        <v>91</v>
      </c>
      <c r="B30" s="2" t="s">
        <v>378</v>
      </c>
      <c r="C30" s="2"/>
      <c r="D30" s="2" t="s">
        <v>378</v>
      </c>
      <c r="E30" s="17"/>
      <c r="F30" s="17"/>
      <c r="G30" s="1"/>
      <c r="H30" s="17"/>
      <c r="I30" s="1"/>
      <c r="J30" s="17"/>
      <c r="K30" s="1"/>
      <c r="L30" s="17"/>
      <c r="M30" s="13"/>
      <c r="N30" t="s">
        <v>378</v>
      </c>
      <c r="P30" t="s">
        <v>41</v>
      </c>
      <c r="Q30" t="s">
        <v>378</v>
      </c>
      <c r="R30" t="s">
        <v>378</v>
      </c>
    </row>
    <row r="31" spans="1:38" ht="18.45" customHeight="1" x14ac:dyDescent="0.15">
      <c r="A31" s="6" t="s">
        <v>246</v>
      </c>
      <c r="B31" s="2" t="s">
        <v>378</v>
      </c>
      <c r="C31" s="2"/>
      <c r="D31" s="2" t="s">
        <v>378</v>
      </c>
      <c r="E31" s="17"/>
      <c r="F31" s="17"/>
      <c r="G31" s="1"/>
      <c r="H31" s="17"/>
      <c r="I31" s="1"/>
      <c r="J31" s="17"/>
      <c r="K31" s="1"/>
      <c r="L31" s="17"/>
      <c r="M31" s="13"/>
      <c r="N31" t="s">
        <v>378</v>
      </c>
      <c r="P31" t="s">
        <v>320</v>
      </c>
      <c r="Q31" t="s">
        <v>378</v>
      </c>
      <c r="R31" t="s">
        <v>378</v>
      </c>
    </row>
    <row r="32" spans="1:38" ht="18.45" customHeight="1" x14ac:dyDescent="0.15">
      <c r="A32" s="6" t="s">
        <v>94</v>
      </c>
      <c r="B32" s="2" t="s">
        <v>378</v>
      </c>
      <c r="C32" s="29" t="s">
        <v>379</v>
      </c>
      <c r="D32" s="2" t="s">
        <v>265</v>
      </c>
      <c r="E32" s="17"/>
      <c r="F32" s="17"/>
      <c r="G32" s="1"/>
      <c r="H32" s="17"/>
      <c r="I32" s="1"/>
      <c r="J32" s="17"/>
      <c r="K32" s="1"/>
      <c r="L32" s="17"/>
      <c r="M32" s="13"/>
      <c r="N32" t="s">
        <v>378</v>
      </c>
      <c r="P32" t="s">
        <v>222</v>
      </c>
      <c r="Q32" t="s">
        <v>232</v>
      </c>
      <c r="R32" t="s">
        <v>378</v>
      </c>
    </row>
    <row r="33" spans="1:20" ht="18.45" customHeight="1" x14ac:dyDescent="0.15">
      <c r="A33" s="6" t="s">
        <v>269</v>
      </c>
      <c r="B33" s="2" t="s">
        <v>378</v>
      </c>
      <c r="C33" s="2"/>
      <c r="D33" s="2" t="s">
        <v>378</v>
      </c>
      <c r="E33" s="17"/>
      <c r="F33" s="17"/>
      <c r="G33" s="1"/>
      <c r="H33" s="17"/>
      <c r="I33" s="1"/>
      <c r="J33" s="17"/>
      <c r="K33" s="1"/>
      <c r="L33" s="17"/>
      <c r="M33" s="13"/>
      <c r="N33" t="s">
        <v>378</v>
      </c>
      <c r="P33" t="s">
        <v>137</v>
      </c>
      <c r="Q33" t="s">
        <v>378</v>
      </c>
      <c r="R33" t="s">
        <v>378</v>
      </c>
    </row>
    <row r="34" spans="1:20" ht="18.45" customHeight="1" x14ac:dyDescent="0.15">
      <c r="A34" s="6" t="s">
        <v>365</v>
      </c>
      <c r="B34" s="2" t="s">
        <v>378</v>
      </c>
      <c r="C34" s="2">
        <v>849</v>
      </c>
      <c r="D34" s="2" t="s">
        <v>214</v>
      </c>
      <c r="E34" s="17"/>
      <c r="F34" s="17"/>
      <c r="G34" s="17"/>
      <c r="H34" s="17"/>
      <c r="I34" s="17"/>
      <c r="J34" s="17"/>
      <c r="K34" s="17"/>
      <c r="L34" s="17"/>
      <c r="M34" s="13"/>
      <c r="N34" t="s">
        <v>378</v>
      </c>
      <c r="P34" t="s">
        <v>33</v>
      </c>
      <c r="Q34" t="s">
        <v>378</v>
      </c>
      <c r="R34" t="s">
        <v>300</v>
      </c>
      <c r="T34" t="s">
        <v>225</v>
      </c>
    </row>
    <row r="35" spans="1:20" ht="18.45" customHeight="1" x14ac:dyDescent="0.15">
      <c r="A35" s="6" t="s">
        <v>184</v>
      </c>
      <c r="B35" s="2" t="s">
        <v>378</v>
      </c>
      <c r="C35" s="2">
        <v>25</v>
      </c>
      <c r="D35" s="2" t="s">
        <v>265</v>
      </c>
      <c r="E35" s="17"/>
      <c r="F35" s="17"/>
      <c r="G35" s="17"/>
      <c r="H35" s="17"/>
      <c r="I35" s="17"/>
      <c r="J35" s="17"/>
      <c r="K35" s="17"/>
      <c r="L35" s="17"/>
      <c r="M35" s="13"/>
      <c r="N35" t="s">
        <v>378</v>
      </c>
      <c r="P35" t="s">
        <v>313</v>
      </c>
      <c r="Q35" t="s">
        <v>378</v>
      </c>
      <c r="R35" t="s">
        <v>73</v>
      </c>
      <c r="T35" t="s">
        <v>309</v>
      </c>
    </row>
    <row r="36" spans="1:20" ht="18.45" customHeight="1" x14ac:dyDescent="0.15">
      <c r="A36" s="6" t="s">
        <v>154</v>
      </c>
      <c r="B36" s="2" t="s">
        <v>378</v>
      </c>
      <c r="C36" s="2"/>
      <c r="D36" s="2" t="s">
        <v>378</v>
      </c>
      <c r="E36" s="17"/>
      <c r="F36" s="17"/>
      <c r="G36" s="1"/>
      <c r="H36" s="17"/>
      <c r="I36" s="1"/>
      <c r="J36" s="17"/>
      <c r="K36" s="1"/>
      <c r="L36" s="17"/>
      <c r="M36" s="13"/>
      <c r="N36" t="s">
        <v>378</v>
      </c>
      <c r="P36" t="s">
        <v>217</v>
      </c>
      <c r="Q36" t="s">
        <v>378</v>
      </c>
      <c r="R36" t="s">
        <v>378</v>
      </c>
    </row>
    <row r="37" spans="1:20" ht="18.45" customHeight="1" x14ac:dyDescent="0.15">
      <c r="A37" s="6" t="s">
        <v>370</v>
      </c>
      <c r="B37" s="2" t="s">
        <v>378</v>
      </c>
      <c r="C37" s="2"/>
      <c r="D37" s="2" t="s">
        <v>378</v>
      </c>
      <c r="E37" s="17"/>
      <c r="F37" s="17"/>
      <c r="G37" s="1"/>
      <c r="H37" s="17"/>
      <c r="I37" s="1"/>
      <c r="J37" s="17"/>
      <c r="K37" s="1"/>
      <c r="L37" s="17"/>
      <c r="M37" s="13"/>
      <c r="N37" t="s">
        <v>378</v>
      </c>
      <c r="P37" t="s">
        <v>131</v>
      </c>
      <c r="Q37" t="s">
        <v>378</v>
      </c>
      <c r="R37" t="s">
        <v>378</v>
      </c>
    </row>
    <row r="38" spans="1:20" ht="18.45" customHeight="1" x14ac:dyDescent="0.15">
      <c r="A38" s="6" t="s">
        <v>244</v>
      </c>
      <c r="B38" s="2" t="s">
        <v>378</v>
      </c>
      <c r="C38" s="2"/>
      <c r="D38" s="2" t="s">
        <v>378</v>
      </c>
      <c r="E38" s="17"/>
      <c r="F38" s="17"/>
      <c r="G38" s="1"/>
      <c r="H38" s="17"/>
      <c r="I38" s="1"/>
      <c r="J38" s="17"/>
      <c r="K38" s="1"/>
      <c r="L38" s="17"/>
      <c r="M38" s="13"/>
      <c r="N38" t="s">
        <v>378</v>
      </c>
      <c r="P38" t="s">
        <v>28</v>
      </c>
      <c r="Q38" t="s">
        <v>378</v>
      </c>
      <c r="R38" t="s">
        <v>378</v>
      </c>
    </row>
    <row r="39" spans="1:20" ht="18.45" customHeight="1" x14ac:dyDescent="0.15">
      <c r="A39" s="6" t="s">
        <v>107</v>
      </c>
      <c r="B39" s="2" t="s">
        <v>202</v>
      </c>
      <c r="C39" s="2">
        <v>6596</v>
      </c>
      <c r="D39" s="2" t="s">
        <v>270</v>
      </c>
      <c r="E39" s="17"/>
      <c r="F39" s="17"/>
      <c r="G39" s="17"/>
      <c r="H39" s="17"/>
      <c r="I39" s="17"/>
      <c r="J39" s="17"/>
      <c r="K39" s="17"/>
      <c r="L39" s="17"/>
      <c r="M39" s="13"/>
      <c r="N39" t="s">
        <v>378</v>
      </c>
      <c r="P39" t="s">
        <v>26</v>
      </c>
      <c r="Q39" t="s">
        <v>378</v>
      </c>
      <c r="R39" t="s">
        <v>319</v>
      </c>
      <c r="T39" t="s">
        <v>225</v>
      </c>
    </row>
    <row r="40" spans="1:20" ht="18.45" customHeight="1" x14ac:dyDescent="0.15">
      <c r="A40" s="6" t="s">
        <v>4</v>
      </c>
      <c r="B40" s="2" t="s">
        <v>202</v>
      </c>
      <c r="C40" s="2">
        <v>7725</v>
      </c>
      <c r="D40" s="2" t="s">
        <v>270</v>
      </c>
      <c r="E40" s="17"/>
      <c r="F40" s="17"/>
      <c r="G40" s="17"/>
      <c r="H40" s="17"/>
      <c r="I40" s="17"/>
      <c r="J40" s="17"/>
      <c r="K40" s="17"/>
      <c r="L40" s="17"/>
      <c r="M40" s="13"/>
      <c r="N40" t="s">
        <v>378</v>
      </c>
      <c r="P40" t="s">
        <v>126</v>
      </c>
      <c r="Q40" t="s">
        <v>378</v>
      </c>
      <c r="R40" t="s">
        <v>319</v>
      </c>
      <c r="T40" t="s">
        <v>225</v>
      </c>
    </row>
    <row r="41" spans="1:20" ht="18.45" customHeight="1" x14ac:dyDescent="0.15">
      <c r="A41" s="6" t="s">
        <v>196</v>
      </c>
      <c r="B41" s="2" t="s">
        <v>351</v>
      </c>
      <c r="C41" s="2">
        <v>100</v>
      </c>
      <c r="D41" s="2" t="s">
        <v>270</v>
      </c>
      <c r="E41" s="17"/>
      <c r="F41" s="17"/>
      <c r="G41" s="17"/>
      <c r="H41" s="17"/>
      <c r="I41" s="17"/>
      <c r="J41" s="17"/>
      <c r="K41" s="17"/>
      <c r="L41" s="17"/>
      <c r="M41" s="13"/>
      <c r="N41" t="s">
        <v>378</v>
      </c>
      <c r="P41" t="s">
        <v>216</v>
      </c>
      <c r="Q41" t="s">
        <v>378</v>
      </c>
      <c r="R41" t="s">
        <v>215</v>
      </c>
      <c r="T41" t="s">
        <v>309</v>
      </c>
    </row>
    <row r="42" spans="1:20" ht="18.45" customHeight="1" x14ac:dyDescent="0.15">
      <c r="A42" s="6" t="s">
        <v>154</v>
      </c>
      <c r="B42" s="2" t="s">
        <v>378</v>
      </c>
      <c r="C42" s="2"/>
      <c r="D42" s="2" t="s">
        <v>378</v>
      </c>
      <c r="E42" s="17"/>
      <c r="F42" s="17"/>
      <c r="G42" s="1"/>
      <c r="H42" s="17"/>
      <c r="I42" s="1"/>
      <c r="J42" s="17"/>
      <c r="K42" s="1"/>
      <c r="L42" s="17"/>
      <c r="M42" s="13"/>
      <c r="N42" t="s">
        <v>378</v>
      </c>
      <c r="P42" t="s">
        <v>308</v>
      </c>
      <c r="Q42" t="s">
        <v>378</v>
      </c>
      <c r="R42" t="s">
        <v>378</v>
      </c>
    </row>
    <row r="43" spans="1:20" ht="18.45" customHeight="1" x14ac:dyDescent="0.15">
      <c r="A43" s="6" t="s">
        <v>48</v>
      </c>
      <c r="B43" s="2" t="s">
        <v>378</v>
      </c>
      <c r="C43" s="2"/>
      <c r="D43" s="2" t="s">
        <v>378</v>
      </c>
      <c r="E43" s="17"/>
      <c r="F43" s="17"/>
      <c r="G43" s="1"/>
      <c r="H43" s="17"/>
      <c r="I43" s="1"/>
      <c r="J43" s="17"/>
      <c r="K43" s="1"/>
      <c r="L43" s="17"/>
      <c r="M43" s="13"/>
      <c r="N43" t="s">
        <v>378</v>
      </c>
      <c r="P43" t="s">
        <v>18</v>
      </c>
      <c r="Q43" t="s">
        <v>378</v>
      </c>
      <c r="R43" t="s">
        <v>378</v>
      </c>
    </row>
    <row r="44" spans="1:20" ht="18.45" customHeight="1" x14ac:dyDescent="0.15">
      <c r="A44" s="6" t="s">
        <v>292</v>
      </c>
      <c r="B44" s="2" t="s">
        <v>378</v>
      </c>
      <c r="C44" s="2"/>
      <c r="D44" s="2" t="s">
        <v>378</v>
      </c>
      <c r="E44" s="17"/>
      <c r="F44" s="17"/>
      <c r="G44" s="1"/>
      <c r="H44" s="17"/>
      <c r="I44" s="1"/>
      <c r="J44" s="17"/>
      <c r="K44" s="1"/>
      <c r="L44" s="17"/>
      <c r="M44" s="13"/>
      <c r="N44" t="s">
        <v>378</v>
      </c>
      <c r="P44" t="s">
        <v>122</v>
      </c>
      <c r="Q44" t="s">
        <v>378</v>
      </c>
      <c r="R44" t="s">
        <v>378</v>
      </c>
    </row>
    <row r="45" spans="1:20" ht="18.45" customHeight="1" x14ac:dyDescent="0.15">
      <c r="A45" s="6" t="s">
        <v>152</v>
      </c>
      <c r="B45" s="2" t="s">
        <v>53</v>
      </c>
      <c r="C45" s="2">
        <v>743</v>
      </c>
      <c r="D45" s="2" t="s">
        <v>270</v>
      </c>
      <c r="E45" s="17"/>
      <c r="F45" s="17"/>
      <c r="G45" s="17"/>
      <c r="H45" s="17"/>
      <c r="I45" s="17"/>
      <c r="J45" s="17"/>
      <c r="K45" s="17"/>
      <c r="L45" s="17"/>
      <c r="M45" s="13"/>
      <c r="N45" t="s">
        <v>378</v>
      </c>
      <c r="P45" t="s">
        <v>210</v>
      </c>
      <c r="Q45" t="s">
        <v>378</v>
      </c>
      <c r="R45" t="s">
        <v>136</v>
      </c>
      <c r="T45" t="s">
        <v>225</v>
      </c>
    </row>
    <row r="46" spans="1:20" ht="18.45" customHeight="1" x14ac:dyDescent="0.15">
      <c r="A46" s="6" t="s">
        <v>152</v>
      </c>
      <c r="B46" s="2" t="s">
        <v>259</v>
      </c>
      <c r="C46" s="2">
        <v>86</v>
      </c>
      <c r="D46" s="2" t="s">
        <v>270</v>
      </c>
      <c r="E46" s="17"/>
      <c r="F46" s="17"/>
      <c r="G46" s="17"/>
      <c r="H46" s="17"/>
      <c r="I46" s="17"/>
      <c r="J46" s="17"/>
      <c r="K46" s="17"/>
      <c r="L46" s="17"/>
      <c r="M46" s="13"/>
      <c r="N46" t="s">
        <v>378</v>
      </c>
      <c r="P46" t="s">
        <v>302</v>
      </c>
      <c r="Q46" t="s">
        <v>378</v>
      </c>
      <c r="R46" t="s">
        <v>204</v>
      </c>
      <c r="T46" t="s">
        <v>225</v>
      </c>
    </row>
    <row r="47" spans="1:20" ht="18.45" customHeight="1" x14ac:dyDescent="0.15">
      <c r="A47" s="6" t="s">
        <v>152</v>
      </c>
      <c r="B47" s="2" t="s">
        <v>331</v>
      </c>
      <c r="C47" s="2">
        <v>140</v>
      </c>
      <c r="D47" s="2" t="s">
        <v>270</v>
      </c>
      <c r="E47" s="17"/>
      <c r="F47" s="17"/>
      <c r="G47" s="17"/>
      <c r="H47" s="17"/>
      <c r="I47" s="17"/>
      <c r="J47" s="17"/>
      <c r="K47" s="17"/>
      <c r="L47" s="17"/>
      <c r="M47" s="13"/>
      <c r="N47" t="s">
        <v>378</v>
      </c>
      <c r="P47" t="s">
        <v>40</v>
      </c>
      <c r="Q47" t="s">
        <v>378</v>
      </c>
      <c r="R47" t="s">
        <v>81</v>
      </c>
      <c r="T47" t="s">
        <v>225</v>
      </c>
    </row>
    <row r="48" spans="1:20" ht="18.45" customHeight="1" x14ac:dyDescent="0.15">
      <c r="A48" s="6" t="s">
        <v>152</v>
      </c>
      <c r="B48" s="2" t="s">
        <v>87</v>
      </c>
      <c r="C48" s="2">
        <v>107</v>
      </c>
      <c r="D48" s="2" t="s">
        <v>270</v>
      </c>
      <c r="E48" s="17"/>
      <c r="F48" s="17"/>
      <c r="G48" s="17"/>
      <c r="H48" s="17"/>
      <c r="I48" s="17"/>
      <c r="J48" s="17"/>
      <c r="K48" s="17"/>
      <c r="L48" s="17"/>
      <c r="M48" s="13"/>
      <c r="N48" t="s">
        <v>378</v>
      </c>
      <c r="P48" t="s">
        <v>140</v>
      </c>
      <c r="Q48" t="s">
        <v>378</v>
      </c>
      <c r="R48" t="s">
        <v>58</v>
      </c>
      <c r="T48" t="s">
        <v>225</v>
      </c>
    </row>
    <row r="49" spans="1:20" ht="18.45" customHeight="1" x14ac:dyDescent="0.15">
      <c r="A49" s="6" t="s">
        <v>358</v>
      </c>
      <c r="B49" s="2" t="s">
        <v>35</v>
      </c>
      <c r="C49" s="2">
        <v>528</v>
      </c>
      <c r="D49" s="2" t="s">
        <v>270</v>
      </c>
      <c r="E49" s="17"/>
      <c r="F49" s="17"/>
      <c r="G49" s="17"/>
      <c r="H49" s="17"/>
      <c r="I49" s="17"/>
      <c r="J49" s="17"/>
      <c r="K49" s="17"/>
      <c r="L49" s="17"/>
      <c r="M49" s="13"/>
      <c r="N49" t="s">
        <v>378</v>
      </c>
      <c r="P49" t="s">
        <v>115</v>
      </c>
      <c r="Q49" t="s">
        <v>378</v>
      </c>
      <c r="R49" t="s">
        <v>67</v>
      </c>
      <c r="T49" t="s">
        <v>225</v>
      </c>
    </row>
    <row r="50" spans="1:20" ht="18.45" customHeight="1" x14ac:dyDescent="0.15">
      <c r="A50" s="6" t="s">
        <v>358</v>
      </c>
      <c r="B50" s="2" t="s">
        <v>282</v>
      </c>
      <c r="C50" s="2">
        <v>211</v>
      </c>
      <c r="D50" s="2" t="s">
        <v>270</v>
      </c>
      <c r="E50" s="17"/>
      <c r="F50" s="17"/>
      <c r="G50" s="17"/>
      <c r="H50" s="17"/>
      <c r="I50" s="17"/>
      <c r="J50" s="17"/>
      <c r="K50" s="17"/>
      <c r="L50" s="17"/>
      <c r="M50" s="13"/>
      <c r="N50" t="s">
        <v>378</v>
      </c>
      <c r="P50" t="s">
        <v>16</v>
      </c>
      <c r="Q50" t="s">
        <v>378</v>
      </c>
      <c r="R50" t="s">
        <v>345</v>
      </c>
      <c r="T50" t="s">
        <v>225</v>
      </c>
    </row>
    <row r="51" spans="1:20" ht="18.45" customHeight="1" x14ac:dyDescent="0.15">
      <c r="A51" s="6" t="s">
        <v>358</v>
      </c>
      <c r="B51" s="2" t="s">
        <v>129</v>
      </c>
      <c r="C51" s="2">
        <v>5</v>
      </c>
      <c r="D51" s="2" t="s">
        <v>270</v>
      </c>
      <c r="E51" s="17"/>
      <c r="F51" s="17"/>
      <c r="G51" s="17"/>
      <c r="H51" s="17"/>
      <c r="I51" s="17"/>
      <c r="J51" s="17"/>
      <c r="K51" s="17"/>
      <c r="L51" s="17"/>
      <c r="M51" s="13"/>
      <c r="N51" t="s">
        <v>378</v>
      </c>
      <c r="P51" t="s">
        <v>298</v>
      </c>
      <c r="Q51" t="s">
        <v>378</v>
      </c>
      <c r="R51" t="s">
        <v>20</v>
      </c>
      <c r="T51" t="s">
        <v>225</v>
      </c>
    </row>
    <row r="52" spans="1:20" ht="18.45" customHeight="1" x14ac:dyDescent="0.15">
      <c r="A52" s="6" t="s">
        <v>358</v>
      </c>
      <c r="B52" s="2" t="s">
        <v>125</v>
      </c>
      <c r="C52" s="2">
        <v>83</v>
      </c>
      <c r="D52" s="2" t="s">
        <v>270</v>
      </c>
      <c r="E52" s="17"/>
      <c r="F52" s="17"/>
      <c r="G52" s="17"/>
      <c r="H52" s="17"/>
      <c r="I52" s="17"/>
      <c r="J52" s="17"/>
      <c r="K52" s="17"/>
      <c r="L52" s="17"/>
      <c r="M52" s="13"/>
      <c r="N52" t="s">
        <v>378</v>
      </c>
      <c r="P52" t="s">
        <v>208</v>
      </c>
      <c r="Q52" t="s">
        <v>378</v>
      </c>
      <c r="R52" t="s">
        <v>79</v>
      </c>
      <c r="T52" t="s">
        <v>225</v>
      </c>
    </row>
    <row r="53" spans="1:20" ht="18.45" customHeight="1" x14ac:dyDescent="0.15">
      <c r="A53" s="6" t="s">
        <v>358</v>
      </c>
      <c r="B53" s="2" t="s">
        <v>287</v>
      </c>
      <c r="C53" s="2">
        <v>3</v>
      </c>
      <c r="D53" s="2" t="s">
        <v>270</v>
      </c>
      <c r="E53" s="17"/>
      <c r="F53" s="17"/>
      <c r="G53" s="17"/>
      <c r="H53" s="17"/>
      <c r="I53" s="17"/>
      <c r="J53" s="17"/>
      <c r="K53" s="17"/>
      <c r="L53" s="17"/>
      <c r="M53" s="13"/>
      <c r="N53" t="s">
        <v>378</v>
      </c>
      <c r="P53" t="s">
        <v>113</v>
      </c>
      <c r="Q53" t="s">
        <v>378</v>
      </c>
      <c r="R53" t="s">
        <v>79</v>
      </c>
      <c r="T53" t="s">
        <v>225</v>
      </c>
    </row>
    <row r="54" spans="1:20" ht="18.45" customHeight="1" x14ac:dyDescent="0.15">
      <c r="A54" s="6" t="s">
        <v>358</v>
      </c>
      <c r="B54" s="2" t="s">
        <v>331</v>
      </c>
      <c r="C54" s="2">
        <v>140</v>
      </c>
      <c r="D54" s="2" t="s">
        <v>270</v>
      </c>
      <c r="E54" s="17"/>
      <c r="F54" s="17"/>
      <c r="G54" s="17"/>
      <c r="H54" s="17"/>
      <c r="I54" s="17"/>
      <c r="J54" s="17"/>
      <c r="K54" s="17"/>
      <c r="L54" s="17"/>
      <c r="M54" s="13"/>
      <c r="N54" t="s">
        <v>378</v>
      </c>
      <c r="P54" t="s">
        <v>10</v>
      </c>
      <c r="Q54" t="s">
        <v>378</v>
      </c>
      <c r="R54" t="s">
        <v>201</v>
      </c>
      <c r="T54" t="s">
        <v>225</v>
      </c>
    </row>
    <row r="55" spans="1:20" ht="18.45" customHeight="1" x14ac:dyDescent="0.15">
      <c r="A55" s="6" t="s">
        <v>358</v>
      </c>
      <c r="B55" s="2" t="s">
        <v>87</v>
      </c>
      <c r="C55" s="2">
        <v>107</v>
      </c>
      <c r="D55" s="2" t="s">
        <v>270</v>
      </c>
      <c r="E55" s="17"/>
      <c r="F55" s="17"/>
      <c r="G55" s="17"/>
      <c r="H55" s="17"/>
      <c r="I55" s="17"/>
      <c r="J55" s="17"/>
      <c r="K55" s="17"/>
      <c r="L55" s="17"/>
      <c r="M55" s="13"/>
      <c r="N55" t="s">
        <v>378</v>
      </c>
      <c r="P55" t="s">
        <v>294</v>
      </c>
      <c r="Q55" t="s">
        <v>378</v>
      </c>
      <c r="R55" t="s">
        <v>219</v>
      </c>
      <c r="T55" t="s">
        <v>225</v>
      </c>
    </row>
    <row r="56" spans="1:20" ht="18.45" customHeight="1" x14ac:dyDescent="0.15">
      <c r="A56" s="6" t="s">
        <v>183</v>
      </c>
      <c r="B56" s="2" t="s">
        <v>378</v>
      </c>
      <c r="C56" s="2"/>
      <c r="D56" s="2" t="s">
        <v>378</v>
      </c>
      <c r="E56" s="17"/>
      <c r="F56" s="17"/>
      <c r="G56" s="1"/>
      <c r="H56" s="17"/>
      <c r="I56" s="1"/>
      <c r="J56" s="17"/>
      <c r="K56" s="1"/>
      <c r="L56" s="17"/>
      <c r="M56" s="13"/>
      <c r="N56" t="s">
        <v>378</v>
      </c>
      <c r="P56" t="s">
        <v>205</v>
      </c>
      <c r="Q56" t="s">
        <v>378</v>
      </c>
      <c r="R56" t="s">
        <v>378</v>
      </c>
    </row>
    <row r="57" spans="1:20" ht="18.45" customHeight="1" x14ac:dyDescent="0.15">
      <c r="A57" s="6" t="s">
        <v>180</v>
      </c>
      <c r="B57" s="2" t="s">
        <v>378</v>
      </c>
      <c r="C57" s="2">
        <v>63</v>
      </c>
      <c r="D57" s="2" t="s">
        <v>228</v>
      </c>
      <c r="E57" s="17"/>
      <c r="F57" s="17"/>
      <c r="G57" s="17"/>
      <c r="H57" s="17"/>
      <c r="I57" s="17"/>
      <c r="J57" s="17"/>
      <c r="K57" s="17"/>
      <c r="L57" s="17"/>
      <c r="M57" s="13"/>
      <c r="N57" t="s">
        <v>378</v>
      </c>
      <c r="P57" t="s">
        <v>106</v>
      </c>
      <c r="Q57" t="s">
        <v>378</v>
      </c>
      <c r="R57" t="s">
        <v>337</v>
      </c>
      <c r="T57" t="s">
        <v>225</v>
      </c>
    </row>
    <row r="58" spans="1:20" ht="18.45" customHeight="1" x14ac:dyDescent="0.15">
      <c r="A58" s="6" t="s">
        <v>78</v>
      </c>
      <c r="B58" s="2" t="s">
        <v>110</v>
      </c>
      <c r="C58" s="2">
        <v>63</v>
      </c>
      <c r="D58" s="2" t="s">
        <v>228</v>
      </c>
      <c r="E58" s="17"/>
      <c r="F58" s="17"/>
      <c r="G58" s="17"/>
      <c r="H58" s="17"/>
      <c r="I58" s="17"/>
      <c r="J58" s="17"/>
      <c r="K58" s="17"/>
      <c r="L58" s="17"/>
      <c r="M58" s="13"/>
      <c r="N58" t="s">
        <v>378</v>
      </c>
      <c r="P58" t="s">
        <v>5</v>
      </c>
      <c r="Q58" t="s">
        <v>378</v>
      </c>
      <c r="R58" t="s">
        <v>186</v>
      </c>
      <c r="T58" t="s">
        <v>225</v>
      </c>
    </row>
    <row r="59" spans="1:20" ht="18.45" customHeight="1" x14ac:dyDescent="0.15">
      <c r="A59" s="6" t="s">
        <v>112</v>
      </c>
      <c r="B59" s="2" t="s">
        <v>378</v>
      </c>
      <c r="C59" s="2"/>
      <c r="D59" s="2" t="s">
        <v>378</v>
      </c>
      <c r="E59" s="17"/>
      <c r="F59" s="17"/>
      <c r="G59" s="1"/>
      <c r="H59" s="17"/>
      <c r="I59" s="1"/>
      <c r="J59" s="17"/>
      <c r="K59" s="1"/>
      <c r="L59" s="17"/>
      <c r="M59" s="13"/>
      <c r="N59" t="s">
        <v>378</v>
      </c>
      <c r="P59" t="s">
        <v>179</v>
      </c>
      <c r="Q59" t="s">
        <v>378</v>
      </c>
      <c r="R59" t="s">
        <v>378</v>
      </c>
    </row>
    <row r="60" spans="1:20" ht="18.45" customHeight="1" x14ac:dyDescent="0.15">
      <c r="A60" s="6" t="s">
        <v>38</v>
      </c>
      <c r="B60" s="2" t="s">
        <v>378</v>
      </c>
      <c r="C60" s="2">
        <v>1</v>
      </c>
      <c r="D60" s="2" t="s">
        <v>299</v>
      </c>
      <c r="E60" s="17"/>
      <c r="F60" s="17"/>
      <c r="G60" s="17"/>
      <c r="H60" s="17"/>
      <c r="I60" s="17"/>
      <c r="J60" s="17"/>
      <c r="K60" s="17"/>
      <c r="L60" s="17"/>
      <c r="M60" s="13"/>
      <c r="N60" t="s">
        <v>378</v>
      </c>
      <c r="P60" t="s">
        <v>80</v>
      </c>
      <c r="Q60" t="s">
        <v>378</v>
      </c>
      <c r="R60" t="s">
        <v>167</v>
      </c>
      <c r="T60" t="s">
        <v>309</v>
      </c>
    </row>
    <row r="61" spans="1:20" ht="18.45" customHeight="1" x14ac:dyDescent="0.15">
      <c r="A61" s="6" t="s">
        <v>163</v>
      </c>
      <c r="B61" s="2" t="s">
        <v>378</v>
      </c>
      <c r="C61" s="2"/>
      <c r="D61" s="2" t="s">
        <v>378</v>
      </c>
      <c r="E61" s="17"/>
      <c r="F61" s="17"/>
      <c r="G61" s="1"/>
      <c r="H61" s="17"/>
      <c r="I61" s="1"/>
      <c r="J61" s="17"/>
      <c r="K61" s="1"/>
      <c r="L61" s="17"/>
      <c r="M61" s="13"/>
      <c r="N61" t="s">
        <v>378</v>
      </c>
      <c r="P61" t="s">
        <v>367</v>
      </c>
      <c r="Q61" t="s">
        <v>378</v>
      </c>
      <c r="R61" t="s">
        <v>378</v>
      </c>
    </row>
    <row r="62" spans="1:20" ht="18.45" customHeight="1" x14ac:dyDescent="0.15">
      <c r="A62" s="6" t="s">
        <v>305</v>
      </c>
      <c r="B62" s="2" t="s">
        <v>378</v>
      </c>
      <c r="C62" s="2">
        <v>1</v>
      </c>
      <c r="D62" s="2" t="s">
        <v>299</v>
      </c>
      <c r="E62" s="17"/>
      <c r="F62" s="17"/>
      <c r="G62" s="17"/>
      <c r="H62" s="17"/>
      <c r="I62" s="17"/>
      <c r="J62" s="17"/>
      <c r="K62" s="17"/>
      <c r="L62" s="17"/>
      <c r="M62" s="13"/>
      <c r="N62" t="s">
        <v>378</v>
      </c>
      <c r="P62" t="s">
        <v>261</v>
      </c>
      <c r="Q62" t="s">
        <v>378</v>
      </c>
      <c r="R62" t="s">
        <v>182</v>
      </c>
      <c r="T62" t="s">
        <v>309</v>
      </c>
    </row>
    <row r="63" spans="1:20" ht="18.45" customHeight="1" x14ac:dyDescent="0.15">
      <c r="A63" s="6" t="s">
        <v>148</v>
      </c>
      <c r="B63" s="2" t="s">
        <v>23</v>
      </c>
      <c r="C63" s="2">
        <v>1</v>
      </c>
      <c r="D63" s="2" t="s">
        <v>235</v>
      </c>
      <c r="E63" s="17"/>
      <c r="F63" s="17"/>
      <c r="G63" s="17"/>
      <c r="H63" s="17"/>
      <c r="I63" s="17"/>
      <c r="J63" s="17"/>
      <c r="K63" s="17"/>
      <c r="L63" s="17"/>
      <c r="M63" s="13"/>
      <c r="N63" t="s">
        <v>378</v>
      </c>
      <c r="P63" t="s">
        <v>192</v>
      </c>
      <c r="Q63" t="s">
        <v>378</v>
      </c>
      <c r="R63" t="s">
        <v>127</v>
      </c>
    </row>
    <row r="64" spans="1:20" ht="18.45" customHeight="1" x14ac:dyDescent="0.15">
      <c r="A64" s="6" t="s">
        <v>154</v>
      </c>
      <c r="B64" s="2" t="s">
        <v>378</v>
      </c>
      <c r="C64" s="2"/>
      <c r="D64" s="2" t="s">
        <v>378</v>
      </c>
      <c r="E64" s="17"/>
      <c r="F64" s="17"/>
      <c r="G64" s="1"/>
      <c r="H64" s="17"/>
      <c r="I64" s="1"/>
      <c r="J64" s="17"/>
      <c r="K64" s="1"/>
      <c r="L64" s="17"/>
      <c r="M64" s="13"/>
      <c r="N64" t="s">
        <v>378</v>
      </c>
      <c r="P64" t="s">
        <v>95</v>
      </c>
      <c r="Q64" t="s">
        <v>378</v>
      </c>
      <c r="R64" t="s">
        <v>378</v>
      </c>
    </row>
    <row r="65" spans="1:34" ht="18.45" customHeight="1" x14ac:dyDescent="0.15">
      <c r="A65" s="6" t="s">
        <v>149</v>
      </c>
      <c r="B65" s="2" t="s">
        <v>378</v>
      </c>
      <c r="C65" s="2"/>
      <c r="D65" s="2" t="s">
        <v>378</v>
      </c>
      <c r="E65" s="17"/>
      <c r="F65" s="17"/>
      <c r="G65" s="1"/>
      <c r="H65" s="17"/>
      <c r="I65" s="1"/>
      <c r="J65" s="17"/>
      <c r="K65" s="1"/>
      <c r="L65" s="17"/>
      <c r="M65" s="13"/>
      <c r="N65" t="s">
        <v>378</v>
      </c>
      <c r="P65" t="s">
        <v>376</v>
      </c>
      <c r="Q65" t="s">
        <v>378</v>
      </c>
      <c r="R65" t="s">
        <v>378</v>
      </c>
    </row>
    <row r="66" spans="1:34" ht="18.45" customHeight="1" x14ac:dyDescent="0.15">
      <c r="A66" s="6" t="s">
        <v>195</v>
      </c>
      <c r="B66" s="2" t="s">
        <v>359</v>
      </c>
      <c r="C66" s="2">
        <v>22</v>
      </c>
      <c r="D66" s="2" t="s">
        <v>253</v>
      </c>
      <c r="E66" s="17"/>
      <c r="F66" s="17"/>
      <c r="G66" s="17"/>
      <c r="H66" s="17"/>
      <c r="I66" s="17"/>
      <c r="J66" s="17"/>
      <c r="K66" s="17"/>
      <c r="L66" s="17"/>
      <c r="M66" s="13"/>
      <c r="N66" t="s">
        <v>378</v>
      </c>
      <c r="P66" t="s">
        <v>267</v>
      </c>
      <c r="Q66" t="s">
        <v>378</v>
      </c>
      <c r="R66" t="s">
        <v>223</v>
      </c>
    </row>
    <row r="67" spans="1:34" ht="18.45" customHeight="1" x14ac:dyDescent="0.15">
      <c r="A67" s="6" t="s">
        <v>62</v>
      </c>
      <c r="B67" s="2" t="s">
        <v>151</v>
      </c>
      <c r="C67" s="2">
        <v>1</v>
      </c>
      <c r="D67" s="2" t="s">
        <v>253</v>
      </c>
      <c r="E67" s="17"/>
      <c r="F67" s="17"/>
      <c r="G67" s="17"/>
      <c r="H67" s="17"/>
      <c r="I67" s="17"/>
      <c r="J67" s="17"/>
      <c r="K67" s="17"/>
      <c r="L67" s="17"/>
      <c r="M67" s="13"/>
      <c r="N67" t="s">
        <v>116</v>
      </c>
      <c r="P67" t="s">
        <v>170</v>
      </c>
      <c r="Q67" t="s">
        <v>378</v>
      </c>
      <c r="R67" t="s">
        <v>284</v>
      </c>
    </row>
    <row r="68" spans="1:34" ht="18.45" customHeight="1" x14ac:dyDescent="0.15">
      <c r="A68" s="6" t="s">
        <v>62</v>
      </c>
      <c r="B68" s="2" t="s">
        <v>286</v>
      </c>
      <c r="C68" s="2">
        <v>1</v>
      </c>
      <c r="D68" s="2" t="s">
        <v>253</v>
      </c>
      <c r="E68" s="17"/>
      <c r="F68" s="17"/>
      <c r="G68" s="17"/>
      <c r="H68" s="17"/>
      <c r="I68" s="17"/>
      <c r="J68" s="17"/>
      <c r="K68" s="17"/>
      <c r="L68" s="17"/>
      <c r="M68" s="13"/>
      <c r="N68" t="s">
        <v>116</v>
      </c>
      <c r="P68" t="s">
        <v>70</v>
      </c>
      <c r="Q68" t="s">
        <v>378</v>
      </c>
      <c r="R68" t="s">
        <v>284</v>
      </c>
    </row>
    <row r="69" spans="1:34" ht="18.45" customHeight="1" x14ac:dyDescent="0.15">
      <c r="A69" s="6" t="s">
        <v>191</v>
      </c>
      <c r="B69" s="2" t="s">
        <v>29</v>
      </c>
      <c r="C69" s="2">
        <v>63</v>
      </c>
      <c r="D69" s="2" t="s">
        <v>108</v>
      </c>
      <c r="E69" s="17"/>
      <c r="F69" s="17"/>
      <c r="G69" s="17"/>
      <c r="H69" s="17"/>
      <c r="I69" s="17"/>
      <c r="J69" s="17"/>
      <c r="K69" s="17"/>
      <c r="L69" s="17"/>
      <c r="M69" s="13"/>
      <c r="N69" t="s">
        <v>378</v>
      </c>
      <c r="P69" t="s">
        <v>377</v>
      </c>
      <c r="Q69" t="s">
        <v>378</v>
      </c>
      <c r="R69" t="s">
        <v>14</v>
      </c>
    </row>
    <row r="70" spans="1:34" ht="18.45" customHeight="1" x14ac:dyDescent="0.15">
      <c r="A70" s="6" t="s">
        <v>154</v>
      </c>
      <c r="B70" s="2" t="s">
        <v>378</v>
      </c>
      <c r="C70" s="2"/>
      <c r="D70" s="2" t="s">
        <v>378</v>
      </c>
      <c r="E70" s="17"/>
      <c r="F70" s="17"/>
      <c r="G70" s="1"/>
      <c r="H70" s="17"/>
      <c r="I70" s="1"/>
      <c r="J70" s="17"/>
      <c r="K70" s="1"/>
      <c r="L70" s="17"/>
      <c r="M70" s="13"/>
      <c r="N70" t="s">
        <v>378</v>
      </c>
      <c r="P70" t="s">
        <v>273</v>
      </c>
      <c r="Q70" t="s">
        <v>89</v>
      </c>
      <c r="R70" t="s">
        <v>378</v>
      </c>
    </row>
    <row r="71" spans="1:34" ht="18.45" customHeight="1" x14ac:dyDescent="0.15">
      <c r="A71" s="6" t="s">
        <v>173</v>
      </c>
      <c r="B71" s="2" t="s">
        <v>378</v>
      </c>
      <c r="C71" s="2">
        <v>1</v>
      </c>
      <c r="D71" s="2" t="s">
        <v>299</v>
      </c>
      <c r="E71" s="1"/>
      <c r="F71" s="17"/>
      <c r="G71" s="1"/>
      <c r="H71" s="17"/>
      <c r="I71" s="1"/>
      <c r="J71" s="17"/>
      <c r="K71" s="1"/>
      <c r="L71" s="17"/>
      <c r="M71" s="13"/>
      <c r="N71" t="s">
        <v>378</v>
      </c>
      <c r="O71" t="s">
        <v>99</v>
      </c>
    </row>
    <row r="72" spans="1:34" ht="18.45" customHeight="1" x14ac:dyDescent="0.15">
      <c r="A72" s="6" t="s">
        <v>166</v>
      </c>
      <c r="B72" s="2" t="s">
        <v>378</v>
      </c>
      <c r="C72" s="2"/>
      <c r="D72" s="2" t="s">
        <v>378</v>
      </c>
      <c r="E72" s="17"/>
      <c r="F72" s="17"/>
      <c r="G72" s="1"/>
      <c r="H72" s="17"/>
      <c r="I72" s="1"/>
      <c r="J72" s="17"/>
      <c r="K72" s="1"/>
      <c r="L72" s="17"/>
      <c r="M72" s="13"/>
      <c r="N72" t="s">
        <v>378</v>
      </c>
      <c r="P72" t="s">
        <v>41</v>
      </c>
      <c r="Q72" t="s">
        <v>378</v>
      </c>
      <c r="R72" t="s">
        <v>378</v>
      </c>
    </row>
    <row r="73" spans="1:34" ht="18.45" customHeight="1" x14ac:dyDescent="0.15">
      <c r="A73" s="6" t="s">
        <v>293</v>
      </c>
      <c r="B73" s="2" t="s">
        <v>378</v>
      </c>
      <c r="C73" s="2">
        <v>1709</v>
      </c>
      <c r="D73" s="2" t="s">
        <v>317</v>
      </c>
      <c r="E73" s="17"/>
      <c r="F73" s="17"/>
      <c r="G73" s="17"/>
      <c r="H73" s="17"/>
      <c r="I73" s="17"/>
      <c r="J73" s="17"/>
      <c r="K73" s="17"/>
      <c r="L73" s="17"/>
      <c r="M73" s="13"/>
      <c r="N73" t="s">
        <v>378</v>
      </c>
      <c r="P73" t="s">
        <v>320</v>
      </c>
      <c r="Q73" t="s">
        <v>378</v>
      </c>
      <c r="R73" t="s">
        <v>334</v>
      </c>
    </row>
    <row r="74" spans="1:34" ht="18.45" customHeight="1" x14ac:dyDescent="0.15">
      <c r="A74" s="6" t="s">
        <v>174</v>
      </c>
      <c r="B74" s="2" t="s">
        <v>378</v>
      </c>
      <c r="C74" s="2"/>
      <c r="D74" s="2" t="s">
        <v>378</v>
      </c>
      <c r="E74" s="17"/>
      <c r="F74" s="17"/>
      <c r="G74" s="1"/>
      <c r="H74" s="17"/>
      <c r="I74" s="1"/>
      <c r="J74" s="17"/>
      <c r="K74" s="1"/>
      <c r="L74" s="17"/>
      <c r="M74" s="13"/>
      <c r="N74" t="s">
        <v>378</v>
      </c>
      <c r="P74" t="s">
        <v>222</v>
      </c>
      <c r="Q74" t="s">
        <v>378</v>
      </c>
      <c r="R74" t="s">
        <v>378</v>
      </c>
    </row>
    <row r="75" spans="1:34" ht="18.45" customHeight="1" x14ac:dyDescent="0.15">
      <c r="A75" s="6" t="s">
        <v>278</v>
      </c>
      <c r="B75" s="2" t="s">
        <v>227</v>
      </c>
      <c r="C75" s="2">
        <v>35</v>
      </c>
      <c r="D75" s="2" t="s">
        <v>317</v>
      </c>
      <c r="E75" s="17"/>
      <c r="F75" s="17"/>
      <c r="G75" s="17"/>
      <c r="H75" s="17"/>
      <c r="I75" s="17"/>
      <c r="J75" s="17"/>
      <c r="K75" s="17"/>
      <c r="L75" s="17"/>
      <c r="M75" s="13"/>
      <c r="N75" t="s">
        <v>378</v>
      </c>
      <c r="P75" t="s">
        <v>137</v>
      </c>
      <c r="Q75" t="s">
        <v>378</v>
      </c>
      <c r="R75" t="s">
        <v>311</v>
      </c>
    </row>
    <row r="76" spans="1:34" ht="18.45" customHeight="1" x14ac:dyDescent="0.15">
      <c r="A76" s="6" t="s">
        <v>121</v>
      </c>
      <c r="B76" s="2" t="s">
        <v>119</v>
      </c>
      <c r="C76" s="2">
        <v>24</v>
      </c>
      <c r="D76" s="2" t="s">
        <v>317</v>
      </c>
      <c r="E76" s="17"/>
      <c r="F76" s="17"/>
      <c r="G76" s="17"/>
      <c r="H76" s="17"/>
      <c r="I76" s="17"/>
      <c r="J76" s="17"/>
      <c r="K76" s="17"/>
      <c r="L76" s="17"/>
      <c r="M76" s="13"/>
      <c r="N76" t="s">
        <v>378</v>
      </c>
      <c r="P76" t="s">
        <v>33</v>
      </c>
      <c r="Q76" t="s">
        <v>378</v>
      </c>
      <c r="R76" t="s">
        <v>59</v>
      </c>
    </row>
    <row r="77" spans="1:34" ht="18.45" customHeight="1" x14ac:dyDescent="0.15">
      <c r="A77" s="6" t="s">
        <v>109</v>
      </c>
      <c r="B77" s="2" t="s">
        <v>378</v>
      </c>
      <c r="C77" s="2"/>
      <c r="D77" s="2" t="s">
        <v>378</v>
      </c>
      <c r="E77" s="17"/>
      <c r="F77" s="17"/>
      <c r="G77" s="1"/>
      <c r="H77" s="17"/>
      <c r="I77" s="1"/>
      <c r="J77" s="17"/>
      <c r="K77" s="1"/>
      <c r="L77" s="17"/>
      <c r="M77" s="13"/>
      <c r="N77" t="s">
        <v>378</v>
      </c>
      <c r="P77" t="s">
        <v>313</v>
      </c>
      <c r="Q77" t="s">
        <v>378</v>
      </c>
      <c r="R77" t="s">
        <v>378</v>
      </c>
    </row>
    <row r="78" spans="1:34" ht="18.45" customHeight="1" x14ac:dyDescent="0.15">
      <c r="A78" s="6" t="s">
        <v>177</v>
      </c>
      <c r="B78" s="2" t="s">
        <v>13</v>
      </c>
      <c r="C78" s="2">
        <v>124</v>
      </c>
      <c r="D78" s="2" t="s">
        <v>207</v>
      </c>
      <c r="E78" s="17"/>
      <c r="F78" s="17"/>
      <c r="G78" s="17"/>
      <c r="H78" s="17"/>
      <c r="I78" s="17"/>
      <c r="J78" s="17"/>
      <c r="K78" s="17"/>
      <c r="L78" s="17"/>
      <c r="M78" s="13"/>
      <c r="N78" t="s">
        <v>254</v>
      </c>
      <c r="P78" t="s">
        <v>217</v>
      </c>
      <c r="Q78" t="s">
        <v>378</v>
      </c>
      <c r="R78" t="s">
        <v>354</v>
      </c>
    </row>
    <row r="79" spans="1:34" ht="18.45" customHeight="1" x14ac:dyDescent="0.15">
      <c r="A79" s="6" t="s">
        <v>177</v>
      </c>
      <c r="B79" s="2" t="s">
        <v>56</v>
      </c>
      <c r="C79" s="2">
        <v>122</v>
      </c>
      <c r="D79" s="2" t="s">
        <v>207</v>
      </c>
      <c r="E79" s="17"/>
      <c r="F79" s="17"/>
      <c r="G79" s="17"/>
      <c r="H79" s="17"/>
      <c r="I79" s="17"/>
      <c r="J79" s="17"/>
      <c r="K79" s="17"/>
      <c r="L79" s="17"/>
      <c r="M79" s="13"/>
      <c r="N79" t="s">
        <v>363</v>
      </c>
      <c r="P79" t="s">
        <v>131</v>
      </c>
      <c r="Q79" t="s">
        <v>378</v>
      </c>
      <c r="R79" t="s">
        <v>93</v>
      </c>
      <c r="AA79" s="18" t="s">
        <v>271</v>
      </c>
      <c r="AB79" s="5">
        <f>ROUND(((내역서!H73+내역서!J73+내역서!L73)+(내역서!H75+내역서!J75+내역서!L75)+(내역서!H76+내역서!J76+내역서!L76)+(내역서!H78+내역서!J78+내역서!L78)+(내역서!H79+내역서!J79+내역서!L79))*0.54/100+(10000-7111),2)</f>
        <v>2889</v>
      </c>
      <c r="AC79" s="18" t="s">
        <v>306</v>
      </c>
      <c r="AD79" s="4">
        <f>$AB79</f>
        <v>2889</v>
      </c>
      <c r="AE79" s="19" t="s">
        <v>165</v>
      </c>
      <c r="AF79" s="5">
        <f>ROUND(ROUND(((내역서!H73+내역서!J73+내역서!L73)+(내역서!H75+내역서!J75+내역서!L75)+(내역서!H76+내역서!J76+내역서!L76)+(내역서!H78+내역서!J78+내역서!L78)+(내역서!H79+내역서!J79+내역서!L79))*0.54/100+(10000-7111),2),2)</f>
        <v>2889</v>
      </c>
      <c r="AG79" s="19" t="s">
        <v>2</v>
      </c>
      <c r="AH79" s="4">
        <f>$AF79</f>
        <v>2889</v>
      </c>
    </row>
    <row r="80" spans="1:34" ht="18.45" customHeight="1" x14ac:dyDescent="0.15">
      <c r="A80" s="6" t="s">
        <v>144</v>
      </c>
      <c r="B80" s="2" t="s">
        <v>229</v>
      </c>
      <c r="C80" s="2">
        <v>1</v>
      </c>
      <c r="D80" s="2" t="s">
        <v>299</v>
      </c>
      <c r="E80" s="17"/>
      <c r="F80" s="17"/>
      <c r="G80" s="1"/>
      <c r="H80" s="17"/>
      <c r="I80" s="1"/>
      <c r="J80" s="17"/>
      <c r="K80" s="1"/>
      <c r="L80" s="17"/>
      <c r="M80" s="13"/>
      <c r="N80" t="s">
        <v>378</v>
      </c>
      <c r="P80" t="s">
        <v>28</v>
      </c>
      <c r="Q80" t="s">
        <v>378</v>
      </c>
      <c r="R80" t="s">
        <v>309</v>
      </c>
      <c r="X80" t="s">
        <v>88</v>
      </c>
    </row>
    <row r="81" spans="1:20" ht="18.45" customHeight="1" x14ac:dyDescent="0.15">
      <c r="A81" s="6" t="s">
        <v>154</v>
      </c>
      <c r="B81" s="2" t="s">
        <v>378</v>
      </c>
      <c r="C81" s="2"/>
      <c r="D81" s="2" t="s">
        <v>378</v>
      </c>
      <c r="E81" s="17"/>
      <c r="F81" s="17"/>
      <c r="G81" s="1"/>
      <c r="H81" s="17"/>
      <c r="I81" s="1"/>
      <c r="J81" s="17"/>
      <c r="K81" s="1"/>
      <c r="L81" s="17"/>
      <c r="M81" s="13"/>
      <c r="N81" t="s">
        <v>378</v>
      </c>
      <c r="P81" t="s">
        <v>26</v>
      </c>
      <c r="Q81" t="s">
        <v>89</v>
      </c>
      <c r="R81" t="s">
        <v>378</v>
      </c>
    </row>
    <row r="82" spans="1:20" ht="18.45" customHeight="1" x14ac:dyDescent="0.15">
      <c r="A82" s="6" t="s">
        <v>85</v>
      </c>
      <c r="B82" s="2" t="s">
        <v>378</v>
      </c>
      <c r="C82" s="2">
        <v>1</v>
      </c>
      <c r="D82" s="2" t="s">
        <v>299</v>
      </c>
      <c r="E82" s="1"/>
      <c r="F82" s="17"/>
      <c r="G82" s="1"/>
      <c r="H82" s="17"/>
      <c r="I82" s="1"/>
      <c r="J82" s="17"/>
      <c r="K82" s="1"/>
      <c r="L82" s="17"/>
      <c r="M82" s="13"/>
      <c r="N82" t="s">
        <v>378</v>
      </c>
      <c r="O82" t="s">
        <v>371</v>
      </c>
    </row>
    <row r="83" spans="1:20" ht="18.45" customHeight="1" x14ac:dyDescent="0.15">
      <c r="A83" s="6" t="s">
        <v>342</v>
      </c>
      <c r="B83" s="2" t="s">
        <v>378</v>
      </c>
      <c r="C83" s="2">
        <v>6</v>
      </c>
      <c r="D83" s="2" t="s">
        <v>108</v>
      </c>
      <c r="E83" s="17"/>
      <c r="F83" s="17"/>
      <c r="G83" s="17"/>
      <c r="H83" s="17"/>
      <c r="I83" s="17"/>
      <c r="J83" s="17"/>
      <c r="K83" s="17"/>
      <c r="L83" s="17"/>
      <c r="M83" s="13"/>
      <c r="N83" t="s">
        <v>378</v>
      </c>
      <c r="P83" t="s">
        <v>41</v>
      </c>
      <c r="Q83" t="s">
        <v>378</v>
      </c>
      <c r="R83" t="s">
        <v>71</v>
      </c>
      <c r="T83" t="s">
        <v>309</v>
      </c>
    </row>
    <row r="84" spans="1:20" ht="18.45" customHeight="1" x14ac:dyDescent="0.15">
      <c r="A84" s="6" t="s">
        <v>9</v>
      </c>
      <c r="B84" s="2" t="s">
        <v>378</v>
      </c>
      <c r="C84" s="2"/>
      <c r="D84" s="2" t="s">
        <v>378</v>
      </c>
      <c r="E84" s="17"/>
      <c r="F84" s="17"/>
      <c r="G84" s="1"/>
      <c r="H84" s="17"/>
      <c r="I84" s="1"/>
      <c r="J84" s="17"/>
      <c r="K84" s="1"/>
      <c r="L84" s="17"/>
      <c r="M84" s="13"/>
      <c r="N84" t="s">
        <v>378</v>
      </c>
      <c r="P84" t="s">
        <v>320</v>
      </c>
      <c r="Q84" t="s">
        <v>378</v>
      </c>
      <c r="R84" t="s">
        <v>378</v>
      </c>
    </row>
    <row r="85" spans="1:20" ht="18.45" customHeight="1" x14ac:dyDescent="0.15">
      <c r="A85" s="6" t="s">
        <v>333</v>
      </c>
      <c r="B85" s="2" t="s">
        <v>255</v>
      </c>
      <c r="C85" s="2">
        <v>3312</v>
      </c>
      <c r="D85" s="2" t="s">
        <v>214</v>
      </c>
      <c r="E85" s="17"/>
      <c r="F85" s="17"/>
      <c r="G85" s="17"/>
      <c r="H85" s="17"/>
      <c r="I85" s="17"/>
      <c r="J85" s="17"/>
      <c r="K85" s="17"/>
      <c r="L85" s="17"/>
      <c r="M85" s="13"/>
      <c r="N85" t="s">
        <v>378</v>
      </c>
      <c r="P85" t="s">
        <v>222</v>
      </c>
      <c r="Q85" t="s">
        <v>378</v>
      </c>
      <c r="R85" t="s">
        <v>233</v>
      </c>
      <c r="T85" t="s">
        <v>309</v>
      </c>
    </row>
    <row r="86" spans="1:20" ht="18.45" customHeight="1" x14ac:dyDescent="0.15">
      <c r="A86" s="6" t="s">
        <v>290</v>
      </c>
      <c r="B86" s="2" t="s">
        <v>378</v>
      </c>
      <c r="C86" s="2">
        <v>30</v>
      </c>
      <c r="D86" s="2" t="s">
        <v>108</v>
      </c>
      <c r="E86" s="17"/>
      <c r="F86" s="17"/>
      <c r="G86" s="17"/>
      <c r="H86" s="17"/>
      <c r="I86" s="17"/>
      <c r="J86" s="17"/>
      <c r="K86" s="17"/>
      <c r="L86" s="17"/>
      <c r="M86" s="13"/>
      <c r="N86" t="s">
        <v>378</v>
      </c>
      <c r="P86" t="s">
        <v>137</v>
      </c>
      <c r="Q86" t="s">
        <v>378</v>
      </c>
      <c r="R86" t="s">
        <v>44</v>
      </c>
      <c r="T86" t="s">
        <v>309</v>
      </c>
    </row>
    <row r="87" spans="1:20" ht="18.45" customHeight="1" x14ac:dyDescent="0.15">
      <c r="A87" s="6" t="s">
        <v>39</v>
      </c>
      <c r="B87" s="2" t="s">
        <v>348</v>
      </c>
      <c r="C87" s="2">
        <v>1</v>
      </c>
      <c r="D87" s="2" t="s">
        <v>299</v>
      </c>
      <c r="E87" s="17"/>
      <c r="F87" s="17"/>
      <c r="G87" s="17"/>
      <c r="H87" s="17"/>
      <c r="I87" s="17"/>
      <c r="J87" s="17"/>
      <c r="K87" s="17"/>
      <c r="L87" s="17"/>
      <c r="M87" s="13"/>
      <c r="N87" t="s">
        <v>378</v>
      </c>
      <c r="P87" t="s">
        <v>33</v>
      </c>
      <c r="Q87" t="s">
        <v>378</v>
      </c>
      <c r="R87" t="s">
        <v>332</v>
      </c>
      <c r="T87" t="s">
        <v>309</v>
      </c>
    </row>
    <row r="88" spans="1:20" ht="18.45" customHeight="1" x14ac:dyDescent="0.15">
      <c r="A88" s="6" t="s">
        <v>154</v>
      </c>
      <c r="B88" s="2" t="s">
        <v>378</v>
      </c>
      <c r="C88" s="2"/>
      <c r="D88" s="2" t="s">
        <v>378</v>
      </c>
      <c r="E88" s="17"/>
      <c r="F88" s="17"/>
      <c r="G88" s="1"/>
      <c r="H88" s="17"/>
      <c r="I88" s="1"/>
      <c r="J88" s="17"/>
      <c r="K88" s="1"/>
      <c r="L88" s="17"/>
      <c r="M88" s="13"/>
      <c r="N88" t="s">
        <v>378</v>
      </c>
      <c r="P88" t="s">
        <v>313</v>
      </c>
      <c r="Q88" t="s">
        <v>89</v>
      </c>
      <c r="R88" t="s">
        <v>378</v>
      </c>
    </row>
    <row r="89" spans="1:20" ht="18.45" customHeight="1" x14ac:dyDescent="0.15">
      <c r="A89" s="20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2"/>
    </row>
  </sheetData>
  <mergeCells count="9">
    <mergeCell ref="K2:L2"/>
    <mergeCell ref="E2:F2"/>
    <mergeCell ref="M2:M3"/>
    <mergeCell ref="A2:A3"/>
    <mergeCell ref="B2:B3"/>
    <mergeCell ref="C2:C3"/>
    <mergeCell ref="D2:D3"/>
    <mergeCell ref="G2:H2"/>
    <mergeCell ref="I2:J2"/>
  </mergeCells>
  <phoneticPr fontId="3" type="noConversion"/>
  <pageMargins left="0.31496062992125984" right="0.31496062992125984" top="1" bottom="0.59055118110236215" header="0.5" footer="0.5"/>
  <pageSetup paperSize="9" orientation="landscape" r:id="rId1"/>
  <headerFooter alignWithMargins="0">
    <oddHeader>&amp;RPage : 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3E5D8-2370-4E48-BC11-6BBB7D98C9E1}">
  <dimension ref="A1:E2"/>
  <sheetViews>
    <sheetView workbookViewId="0">
      <selection activeCell="B2" sqref="B2"/>
    </sheetView>
  </sheetViews>
  <sheetFormatPr defaultRowHeight="18.45" customHeight="1" x14ac:dyDescent="0.15"/>
  <cols>
    <col min="1" max="1" width="25" customWidth="1"/>
    <col min="2" max="2" width="10" customWidth="1"/>
    <col min="3" max="3" width="25" customWidth="1"/>
    <col min="4" max="4" width="30" customWidth="1"/>
    <col min="5" max="5" width="13" customWidth="1"/>
  </cols>
  <sheetData>
    <row r="1" spans="1:5" ht="18.45" customHeight="1" x14ac:dyDescent="0.15">
      <c r="A1" t="s">
        <v>277</v>
      </c>
    </row>
    <row r="2" spans="1:5" ht="18.45" customHeight="1" x14ac:dyDescent="0.15">
      <c r="A2" s="9" t="s">
        <v>32</v>
      </c>
      <c r="B2" s="10" t="s">
        <v>283</v>
      </c>
      <c r="C2" s="10" t="s">
        <v>65</v>
      </c>
      <c r="D2" s="15" t="s">
        <v>86</v>
      </c>
      <c r="E2" s="11" t="s">
        <v>8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FEE13-8D5A-4BF3-B064-7CA86724991A}">
  <dimension ref="A1:D50"/>
  <sheetViews>
    <sheetView showFormulas="1" workbookViewId="0">
      <selection activeCell="B2" sqref="B2"/>
    </sheetView>
  </sheetViews>
  <sheetFormatPr defaultRowHeight="18.45" customHeight="1" x14ac:dyDescent="0.15"/>
  <cols>
    <col min="1" max="1" width="15" customWidth="1"/>
    <col min="2" max="2" width="5" customWidth="1"/>
    <col min="3" max="4" width="20" customWidth="1"/>
  </cols>
  <sheetData>
    <row r="1" spans="1:4" ht="18.45" customHeight="1" x14ac:dyDescent="0.15">
      <c r="A1" t="s">
        <v>339</v>
      </c>
    </row>
    <row r="2" spans="1:4" ht="18.45" customHeight="1" x14ac:dyDescent="0.15">
      <c r="A2" s="9" t="s">
        <v>32</v>
      </c>
      <c r="B2" s="10" t="s">
        <v>283</v>
      </c>
      <c r="C2" s="10" t="s">
        <v>65</v>
      </c>
      <c r="D2" s="12" t="s">
        <v>86</v>
      </c>
    </row>
    <row r="3" spans="1:4" ht="18.45" customHeight="1" x14ac:dyDescent="0.15">
      <c r="A3" s="6" t="s">
        <v>243</v>
      </c>
      <c r="B3" s="2" t="s">
        <v>128</v>
      </c>
      <c r="C3" s="2" t="s">
        <v>360</v>
      </c>
      <c r="D3" s="13" t="s">
        <v>378</v>
      </c>
    </row>
    <row r="4" spans="1:4" ht="18.45" customHeight="1" x14ac:dyDescent="0.15">
      <c r="A4" s="6" t="s">
        <v>226</v>
      </c>
      <c r="B4" s="2" t="s">
        <v>369</v>
      </c>
      <c r="C4" s="2">
        <v>1466</v>
      </c>
      <c r="D4" s="13" t="s">
        <v>160</v>
      </c>
    </row>
    <row r="5" spans="1:4" ht="18.45" customHeight="1" x14ac:dyDescent="0.15">
      <c r="A5" s="6" t="s">
        <v>74</v>
      </c>
      <c r="B5" s="2" t="s">
        <v>369</v>
      </c>
      <c r="C5" s="2">
        <v>1466</v>
      </c>
      <c r="D5" s="13" t="s">
        <v>316</v>
      </c>
    </row>
    <row r="6" spans="1:4" ht="18.45" customHeight="1" x14ac:dyDescent="0.15">
      <c r="A6" s="6" t="s">
        <v>45</v>
      </c>
      <c r="B6" s="2" t="s">
        <v>369</v>
      </c>
      <c r="C6" s="2">
        <v>9.31</v>
      </c>
      <c r="D6" s="13" t="s">
        <v>304</v>
      </c>
    </row>
    <row r="7" spans="1:4" ht="18.45" customHeight="1" x14ac:dyDescent="0.15">
      <c r="A7" s="6" t="s">
        <v>103</v>
      </c>
      <c r="B7" s="2" t="s">
        <v>369</v>
      </c>
      <c r="C7" s="2">
        <v>724.05</v>
      </c>
      <c r="D7" s="13" t="s">
        <v>218</v>
      </c>
    </row>
    <row r="8" spans="1:4" ht="18.45" customHeight="1" x14ac:dyDescent="0.15">
      <c r="A8" s="6" t="s">
        <v>176</v>
      </c>
      <c r="B8" s="2" t="s">
        <v>369</v>
      </c>
      <c r="C8" s="2">
        <v>1000</v>
      </c>
      <c r="D8" s="13" t="s">
        <v>330</v>
      </c>
    </row>
    <row r="9" spans="1:4" ht="18.45" customHeight="1" x14ac:dyDescent="0.15">
      <c r="A9" s="6" t="s">
        <v>61</v>
      </c>
      <c r="B9" s="2" t="s">
        <v>369</v>
      </c>
      <c r="C9" s="2">
        <v>1580</v>
      </c>
      <c r="D9" s="13" t="s">
        <v>164</v>
      </c>
    </row>
    <row r="10" spans="1:4" ht="18.45" customHeight="1" x14ac:dyDescent="0.15">
      <c r="A10" s="6" t="s">
        <v>266</v>
      </c>
      <c r="B10" s="2" t="s">
        <v>128</v>
      </c>
      <c r="C10" s="2" t="s">
        <v>1</v>
      </c>
      <c r="D10" s="13" t="s">
        <v>276</v>
      </c>
    </row>
    <row r="11" spans="1:4" ht="18.45" customHeight="1" x14ac:dyDescent="0.15">
      <c r="A11" s="6" t="s">
        <v>0</v>
      </c>
      <c r="B11" s="2" t="s">
        <v>128</v>
      </c>
      <c r="C11" s="2" t="s">
        <v>1</v>
      </c>
      <c r="D11" s="13" t="s">
        <v>77</v>
      </c>
    </row>
    <row r="12" spans="1:4" ht="18.45" customHeight="1" x14ac:dyDescent="0.15">
      <c r="A12" s="6" t="s">
        <v>213</v>
      </c>
      <c r="B12" s="2" t="s">
        <v>128</v>
      </c>
      <c r="C12" s="2" t="s">
        <v>199</v>
      </c>
      <c r="D12" s="13" t="s">
        <v>264</v>
      </c>
    </row>
    <row r="13" spans="1:4" ht="18.45" customHeight="1" x14ac:dyDescent="0.15">
      <c r="A13" s="6" t="s">
        <v>15</v>
      </c>
      <c r="B13" s="2" t="s">
        <v>369</v>
      </c>
      <c r="C13" s="2">
        <v>1.25</v>
      </c>
      <c r="D13" s="13" t="s">
        <v>301</v>
      </c>
    </row>
    <row r="14" spans="1:4" ht="18.45" customHeight="1" x14ac:dyDescent="0.15">
      <c r="A14" s="6" t="s">
        <v>220</v>
      </c>
      <c r="B14" s="2" t="s">
        <v>369</v>
      </c>
      <c r="C14" s="2">
        <v>1.071</v>
      </c>
      <c r="D14" s="13" t="s">
        <v>135</v>
      </c>
    </row>
    <row r="15" spans="1:4" ht="18.45" customHeight="1" x14ac:dyDescent="0.15">
      <c r="A15" s="6" t="s">
        <v>193</v>
      </c>
      <c r="B15" s="2" t="s">
        <v>128</v>
      </c>
      <c r="C15" s="2" t="s">
        <v>323</v>
      </c>
      <c r="D15" s="13" t="s">
        <v>237</v>
      </c>
    </row>
    <row r="16" spans="1:4" ht="18.45" customHeight="1" x14ac:dyDescent="0.15">
      <c r="A16" s="6" t="s">
        <v>239</v>
      </c>
      <c r="B16" s="2" t="s">
        <v>128</v>
      </c>
      <c r="C16" s="2" t="s">
        <v>323</v>
      </c>
      <c r="D16" s="13" t="s">
        <v>251</v>
      </c>
    </row>
    <row r="17" spans="1:4" ht="18.45" customHeight="1" x14ac:dyDescent="0.15">
      <c r="A17" s="6" t="s">
        <v>72</v>
      </c>
      <c r="B17" s="2" t="s">
        <v>128</v>
      </c>
      <c r="C17" s="2" t="s">
        <v>323</v>
      </c>
      <c r="D17" s="13" t="s">
        <v>64</v>
      </c>
    </row>
    <row r="18" spans="1:4" ht="18.45" customHeight="1" x14ac:dyDescent="0.15">
      <c r="A18" s="6" t="s">
        <v>142</v>
      </c>
      <c r="B18" s="2" t="s">
        <v>128</v>
      </c>
      <c r="C18" s="3">
        <f t="shared" ref="C18:C23" si="0">25/20 * 16/12 * 1/8</f>
        <v>0.20833333333333334</v>
      </c>
      <c r="D18" s="13" t="s">
        <v>355</v>
      </c>
    </row>
    <row r="19" spans="1:4" ht="18.45" customHeight="1" x14ac:dyDescent="0.15">
      <c r="A19" s="6" t="s">
        <v>340</v>
      </c>
      <c r="B19" s="2" t="s">
        <v>128</v>
      </c>
      <c r="C19" s="3">
        <f t="shared" si="0"/>
        <v>0.20833333333333334</v>
      </c>
      <c r="D19" s="13" t="s">
        <v>117</v>
      </c>
    </row>
    <row r="20" spans="1:4" ht="18.45" customHeight="1" x14ac:dyDescent="0.15">
      <c r="A20" s="6" t="s">
        <v>31</v>
      </c>
      <c r="B20" s="2" t="s">
        <v>128</v>
      </c>
      <c r="C20" s="3">
        <f t="shared" si="0"/>
        <v>0.20833333333333334</v>
      </c>
      <c r="D20" s="13" t="s">
        <v>252</v>
      </c>
    </row>
    <row r="21" spans="1:4" ht="18.45" customHeight="1" x14ac:dyDescent="0.15">
      <c r="A21" s="6" t="s">
        <v>130</v>
      </c>
      <c r="B21" s="2" t="s">
        <v>128</v>
      </c>
      <c r="C21" s="3">
        <f t="shared" si="0"/>
        <v>0.20833333333333334</v>
      </c>
      <c r="D21" s="13" t="s">
        <v>159</v>
      </c>
    </row>
    <row r="22" spans="1:4" ht="18.45" customHeight="1" x14ac:dyDescent="0.15">
      <c r="A22" s="6" t="s">
        <v>349</v>
      </c>
      <c r="B22" s="2" t="s">
        <v>128</v>
      </c>
      <c r="C22" s="3">
        <f t="shared" si="0"/>
        <v>0.20833333333333334</v>
      </c>
      <c r="D22" s="13" t="s">
        <v>281</v>
      </c>
    </row>
    <row r="23" spans="1:4" ht="18.45" customHeight="1" x14ac:dyDescent="0.15">
      <c r="A23" s="6" t="s">
        <v>178</v>
      </c>
      <c r="B23" s="2" t="s">
        <v>128</v>
      </c>
      <c r="C23" s="3">
        <f t="shared" si="0"/>
        <v>0.20833333333333334</v>
      </c>
      <c r="D23" s="13" t="s">
        <v>22</v>
      </c>
    </row>
    <row r="24" spans="1:4" ht="18.45" customHeight="1" x14ac:dyDescent="0.15">
      <c r="A24" s="6" t="s">
        <v>288</v>
      </c>
      <c r="B24" s="2" t="s">
        <v>369</v>
      </c>
      <c r="C24" s="2">
        <v>1</v>
      </c>
      <c r="D24" s="13" t="s">
        <v>198</v>
      </c>
    </row>
    <row r="25" spans="1:4" ht="18.45" customHeight="1" x14ac:dyDescent="0.15">
      <c r="A25" s="6" t="s">
        <v>189</v>
      </c>
      <c r="B25" s="2" t="s">
        <v>369</v>
      </c>
      <c r="C25" s="2">
        <v>1.5</v>
      </c>
      <c r="D25" s="13" t="s">
        <v>350</v>
      </c>
    </row>
    <row r="26" spans="1:4" ht="18.45" customHeight="1" x14ac:dyDescent="0.15">
      <c r="A26" s="6" t="s">
        <v>347</v>
      </c>
      <c r="B26" s="2" t="s">
        <v>369</v>
      </c>
      <c r="C26" s="2">
        <v>1.1599999999999999</v>
      </c>
      <c r="D26" s="13" t="s">
        <v>364</v>
      </c>
    </row>
    <row r="27" spans="1:4" ht="18.45" customHeight="1" x14ac:dyDescent="0.15">
      <c r="A27" s="6" t="s">
        <v>368</v>
      </c>
      <c r="B27" s="2" t="s">
        <v>369</v>
      </c>
      <c r="C27" s="2">
        <v>1.6</v>
      </c>
      <c r="D27" s="13" t="s">
        <v>104</v>
      </c>
    </row>
    <row r="28" spans="1:4" ht="18.45" customHeight="1" x14ac:dyDescent="0.15">
      <c r="A28" s="6" t="s">
        <v>100</v>
      </c>
      <c r="B28" s="2" t="s">
        <v>369</v>
      </c>
      <c r="C28" s="2">
        <v>1.6</v>
      </c>
      <c r="D28" s="13" t="s">
        <v>60</v>
      </c>
    </row>
    <row r="29" spans="1:4" ht="18.45" customHeight="1" x14ac:dyDescent="0.15">
      <c r="A29" s="6" t="s">
        <v>310</v>
      </c>
      <c r="B29" s="2" t="s">
        <v>369</v>
      </c>
      <c r="C29" s="2">
        <v>1.6</v>
      </c>
      <c r="D29" s="13" t="s">
        <v>236</v>
      </c>
    </row>
    <row r="30" spans="1:4" ht="18.45" customHeight="1" x14ac:dyDescent="0.15">
      <c r="A30" s="6" t="s">
        <v>172</v>
      </c>
      <c r="B30" s="2" t="s">
        <v>369</v>
      </c>
      <c r="C30" s="2">
        <v>1.94</v>
      </c>
      <c r="D30" s="13" t="s">
        <v>240</v>
      </c>
    </row>
    <row r="31" spans="1:4" ht="18.45" customHeight="1" x14ac:dyDescent="0.15">
      <c r="A31" s="6" t="s">
        <v>329</v>
      </c>
      <c r="B31" s="2" t="s">
        <v>369</v>
      </c>
      <c r="C31" s="2">
        <v>1.94</v>
      </c>
      <c r="D31" s="13" t="s">
        <v>275</v>
      </c>
    </row>
    <row r="32" spans="1:4" ht="18.45" customHeight="1" x14ac:dyDescent="0.15">
      <c r="A32" s="6" t="s">
        <v>134</v>
      </c>
      <c r="B32" s="2" t="s">
        <v>369</v>
      </c>
      <c r="C32" s="2">
        <v>1.94</v>
      </c>
      <c r="D32" s="13" t="s">
        <v>63</v>
      </c>
    </row>
    <row r="33" spans="1:4" ht="18.45" customHeight="1" x14ac:dyDescent="0.15">
      <c r="A33" s="6" t="s">
        <v>84</v>
      </c>
      <c r="B33" s="2" t="s">
        <v>369</v>
      </c>
      <c r="C33" s="2">
        <v>1</v>
      </c>
      <c r="D33" s="13" t="s">
        <v>96</v>
      </c>
    </row>
    <row r="34" spans="1:4" ht="18.45" customHeight="1" x14ac:dyDescent="0.15">
      <c r="A34" s="6" t="s">
        <v>248</v>
      </c>
      <c r="B34" s="2" t="s">
        <v>369</v>
      </c>
      <c r="C34" s="2">
        <v>1</v>
      </c>
      <c r="D34" s="13" t="s">
        <v>133</v>
      </c>
    </row>
    <row r="35" spans="1:4" ht="18.45" customHeight="1" x14ac:dyDescent="0.15">
      <c r="A35" s="6" t="s">
        <v>30</v>
      </c>
      <c r="B35" s="2" t="s">
        <v>369</v>
      </c>
      <c r="C35" s="2">
        <v>1</v>
      </c>
      <c r="D35" s="13" t="s">
        <v>212</v>
      </c>
    </row>
    <row r="36" spans="1:4" ht="18.45" customHeight="1" x14ac:dyDescent="0.15">
      <c r="A36" s="6" t="s">
        <v>247</v>
      </c>
      <c r="B36" s="2" t="s">
        <v>128</v>
      </c>
      <c r="C36" s="2" t="s">
        <v>323</v>
      </c>
      <c r="D36" s="13" t="s">
        <v>25</v>
      </c>
    </row>
    <row r="37" spans="1:4" ht="18.45" customHeight="1" x14ac:dyDescent="0.15">
      <c r="A37" s="6" t="s">
        <v>197</v>
      </c>
      <c r="B37" s="2" t="s">
        <v>128</v>
      </c>
      <c r="C37" s="2" t="s">
        <v>323</v>
      </c>
      <c r="D37" s="13" t="s">
        <v>24</v>
      </c>
    </row>
    <row r="38" spans="1:4" ht="18.45" customHeight="1" x14ac:dyDescent="0.15">
      <c r="A38" s="6" t="s">
        <v>42</v>
      </c>
      <c r="B38" s="2" t="s">
        <v>128</v>
      </c>
      <c r="C38" s="2" t="s">
        <v>323</v>
      </c>
      <c r="D38" s="13" t="s">
        <v>11</v>
      </c>
    </row>
    <row r="39" spans="1:4" ht="18.45" customHeight="1" x14ac:dyDescent="0.15">
      <c r="A39" s="6" t="s">
        <v>296</v>
      </c>
      <c r="B39" s="2" t="s">
        <v>369</v>
      </c>
      <c r="C39" s="2">
        <v>1.1100000000000001</v>
      </c>
      <c r="D39" s="13" t="s">
        <v>325</v>
      </c>
    </row>
    <row r="40" spans="1:4" ht="18.45" customHeight="1" x14ac:dyDescent="0.15">
      <c r="A40" s="6" t="s">
        <v>138</v>
      </c>
      <c r="B40" s="2" t="s">
        <v>369</v>
      </c>
      <c r="C40" s="2">
        <v>1.1200000000000001</v>
      </c>
      <c r="D40" s="13" t="s">
        <v>120</v>
      </c>
    </row>
    <row r="41" spans="1:4" ht="18.45" customHeight="1" x14ac:dyDescent="0.15">
      <c r="A41" s="6" t="s">
        <v>352</v>
      </c>
      <c r="B41" s="2" t="s">
        <v>128</v>
      </c>
      <c r="C41" s="2" t="s">
        <v>362</v>
      </c>
      <c r="D41" s="13" t="s">
        <v>312</v>
      </c>
    </row>
    <row r="42" spans="1:4" ht="18.45" customHeight="1" x14ac:dyDescent="0.15">
      <c r="A42" s="6" t="s">
        <v>285</v>
      </c>
      <c r="B42" s="2" t="s">
        <v>128</v>
      </c>
      <c r="C42" s="2" t="s">
        <v>362</v>
      </c>
      <c r="D42" s="13" t="s">
        <v>324</v>
      </c>
    </row>
    <row r="43" spans="1:4" ht="18.45" customHeight="1" x14ac:dyDescent="0.15">
      <c r="A43" s="6" t="s">
        <v>145</v>
      </c>
      <c r="B43" s="2" t="s">
        <v>128</v>
      </c>
      <c r="C43" s="2" t="s">
        <v>362</v>
      </c>
      <c r="D43" s="13" t="s">
        <v>190</v>
      </c>
    </row>
    <row r="44" spans="1:4" ht="18.45" customHeight="1" x14ac:dyDescent="0.15">
      <c r="A44" s="6" t="s">
        <v>272</v>
      </c>
      <c r="B44" s="2" t="s">
        <v>128</v>
      </c>
      <c r="C44" s="2" t="s">
        <v>323</v>
      </c>
      <c r="D44" s="13" t="s">
        <v>378</v>
      </c>
    </row>
    <row r="45" spans="1:4" ht="18.45" customHeight="1" x14ac:dyDescent="0.15">
      <c r="A45" s="6" t="s">
        <v>153</v>
      </c>
      <c r="B45" s="2" t="s">
        <v>128</v>
      </c>
      <c r="C45" s="2" t="s">
        <v>378</v>
      </c>
      <c r="D45" s="13" t="s">
        <v>378</v>
      </c>
    </row>
    <row r="46" spans="1:4" ht="18.45" customHeight="1" x14ac:dyDescent="0.15">
      <c r="A46" s="6" t="s">
        <v>114</v>
      </c>
      <c r="B46" s="2" t="s">
        <v>128</v>
      </c>
      <c r="C46" s="2" t="s">
        <v>378</v>
      </c>
      <c r="D46" s="13" t="s">
        <v>378</v>
      </c>
    </row>
    <row r="47" spans="1:4" ht="18.45" customHeight="1" x14ac:dyDescent="0.15">
      <c r="A47" s="6" t="s">
        <v>206</v>
      </c>
      <c r="B47" s="2" t="s">
        <v>369</v>
      </c>
      <c r="C47" s="2">
        <v>1180</v>
      </c>
      <c r="D47" s="13" t="s">
        <v>111</v>
      </c>
    </row>
    <row r="48" spans="1:4" ht="18.45" customHeight="1" x14ac:dyDescent="0.15">
      <c r="A48" s="6" t="s">
        <v>34</v>
      </c>
      <c r="B48" s="2" t="s">
        <v>369</v>
      </c>
      <c r="C48" s="2">
        <v>1180</v>
      </c>
      <c r="D48" s="13" t="s">
        <v>238</v>
      </c>
    </row>
    <row r="49" spans="1:4" ht="18.45" customHeight="1" x14ac:dyDescent="0.15">
      <c r="A49" s="6" t="s">
        <v>54</v>
      </c>
      <c r="B49" s="2" t="s">
        <v>128</v>
      </c>
      <c r="C49" s="2" t="s">
        <v>188</v>
      </c>
      <c r="D49" s="13" t="s">
        <v>378</v>
      </c>
    </row>
    <row r="50" spans="1:4" ht="18.45" customHeight="1" x14ac:dyDescent="0.15">
      <c r="A50" s="7" t="s">
        <v>46</v>
      </c>
      <c r="B50" s="8" t="s">
        <v>128</v>
      </c>
      <c r="C50" s="8" t="s">
        <v>323</v>
      </c>
      <c r="D50" s="14" t="s">
        <v>378</v>
      </c>
    </row>
  </sheetData>
  <phoneticPr fontId="3" type="noConversion"/>
  <pageMargins left="0.31496062992125984" right="0.31496062992125984" top="1" bottom="0.59055118110236215" header="0.5" footer="0.5"/>
  <pageSetup paperSize="9" orientation="portrait" copies="0"/>
  <headerFooter alignWithMargins="0">
    <oddHeader>&amp;RPage : 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153B-38B3-41CE-B244-060E0C132A2F}">
  <dimension ref="A1"/>
  <sheetViews>
    <sheetView workbookViewId="0">
      <selection activeCell="B2" sqref="B2"/>
    </sheetView>
  </sheetViews>
  <sheetFormatPr defaultRowHeight="12.75" customHeight="1" x14ac:dyDescent="0.15"/>
  <sheetData/>
  <phoneticPr fontId="3" type="noConversion"/>
  <pageMargins left="0.75" right="0.75" top="1" bottom="1" header="0.5" footer="0.5"/>
  <pageSetup paperSize="9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내역서</vt:lpstr>
      <vt:lpstr>전역변수</vt:lpstr>
      <vt:lpstr>중기전역변수</vt:lpstr>
      <vt:lpstr>Sheet3</vt:lpstr>
      <vt:lpstr>내역서!Print_Titles</vt:lpstr>
      <vt:lpstr>전역변수!Print_Titles</vt:lpstr>
      <vt:lpstr>중기전역변수!Print_Titles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 H</dc:creator>
  <cp:lastModifiedBy>USER</cp:lastModifiedBy>
  <dcterms:created xsi:type="dcterms:W3CDTF">2025-04-10T09:03:29Z</dcterms:created>
  <dcterms:modified xsi:type="dcterms:W3CDTF">2025-05-08T01:02:16Z</dcterms:modified>
</cp:coreProperties>
</file>